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680" yWindow="-150" windowWidth="15480" windowHeight="6090" tabRatio="913"/>
  </bookViews>
  <sheets>
    <sheet name="PliegoRural" sheetId="21" r:id="rId1"/>
    <sheet name="Hoja1" sheetId="22" r:id="rId2"/>
  </sheets>
  <externalReferences>
    <externalReference r:id="rId3"/>
  </externalReferences>
  <definedNames>
    <definedName name="__123Graph_ASISTEMAS" hidden="1">[1]BarraFactores!#REF!</definedName>
    <definedName name="_xlnm.Print_Area" localSheetId="0">PliegoRural!$A$4:$F$57</definedName>
    <definedName name="MEM_DM">PliegoRural!$H$4</definedName>
  </definedNames>
  <calcPr calcId="145621"/>
</workbook>
</file>

<file path=xl/calcChain.xml><?xml version="1.0" encoding="utf-8"?>
<calcChain xmlns="http://schemas.openxmlformats.org/spreadsheetml/2006/main">
  <c r="Q33" i="21" l="1"/>
  <c r="N4" i="21" s="1"/>
  <c r="M4" i="21" s="1"/>
  <c r="Q4" i="21"/>
  <c r="K11" i="21"/>
  <c r="K12" i="21" s="1"/>
  <c r="L11" i="21"/>
  <c r="L12" i="21" s="1"/>
  <c r="M11" i="21"/>
  <c r="M16" i="21" s="1"/>
  <c r="M21" i="21" s="1"/>
  <c r="M26" i="21" s="1"/>
  <c r="M31" i="21" s="1"/>
  <c r="M36" i="21" s="1"/>
  <c r="M41" i="21" s="1"/>
  <c r="M46" i="21" s="1"/>
  <c r="D38" i="21"/>
  <c r="D33" i="21"/>
  <c r="D13" i="21" s="1"/>
  <c r="D18" i="21"/>
  <c r="K9" i="21"/>
  <c r="K14" i="21" s="1"/>
  <c r="K19" i="21" s="1"/>
  <c r="K24" i="21" s="1"/>
  <c r="K29" i="21" s="1"/>
  <c r="K34" i="21" s="1"/>
  <c r="L9" i="21"/>
  <c r="L14" i="21" s="1"/>
  <c r="L19" i="21" s="1"/>
  <c r="L24" i="21" s="1"/>
  <c r="L29" i="21" s="1"/>
  <c r="L34" i="21" s="1"/>
  <c r="L39" i="21" s="1"/>
  <c r="L44" i="21" s="1"/>
  <c r="M9" i="21"/>
  <c r="M10" i="21" s="1"/>
  <c r="M15" i="21" s="1"/>
  <c r="M20" i="21" s="1"/>
  <c r="M25" i="21" s="1"/>
  <c r="M30" i="21" s="1"/>
  <c r="M35" i="21" s="1"/>
  <c r="M40" i="21" s="1"/>
  <c r="M45" i="21" s="1"/>
  <c r="A6" i="21"/>
  <c r="A53" i="21" s="1"/>
  <c r="Q3" i="21"/>
  <c r="P33" i="21"/>
  <c r="N3" i="21" s="1"/>
  <c r="L5" i="21"/>
  <c r="J5" i="21"/>
  <c r="E56" i="21" s="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Q34" i="21"/>
  <c r="P4" i="21" s="1"/>
  <c r="O4" i="21" s="1"/>
  <c r="P34" i="21"/>
  <c r="P3" i="21"/>
  <c r="O3" i="21" s="1"/>
  <c r="T25" i="21"/>
  <c r="T26" i="21"/>
  <c r="S16" i="21"/>
  <c r="S17" i="21" s="1"/>
  <c r="K5" i="21"/>
  <c r="D43" i="21"/>
  <c r="D48" i="21" s="1"/>
  <c r="D28" i="21" s="1"/>
  <c r="D30" i="21"/>
  <c r="D10" i="21" s="1"/>
  <c r="D31" i="21"/>
  <c r="D11" i="21" s="1"/>
  <c r="D32" i="21"/>
  <c r="D12" i="21" s="1"/>
  <c r="D34" i="21"/>
  <c r="D14" i="21" s="1"/>
  <c r="D35" i="21"/>
  <c r="D15" i="21" s="1"/>
  <c r="D36" i="21"/>
  <c r="D16" i="21" s="1"/>
  <c r="D37" i="21"/>
  <c r="D17" i="21" s="1"/>
  <c r="D39" i="21"/>
  <c r="D44" i="21" s="1"/>
  <c r="D24" i="21" s="1"/>
  <c r="D40" i="21"/>
  <c r="D45" i="21" s="1"/>
  <c r="D25" i="21" s="1"/>
  <c r="D41" i="21"/>
  <c r="D42" i="21"/>
  <c r="D47" i="21" s="1"/>
  <c r="D27" i="21" s="1"/>
  <c r="D29" i="21"/>
  <c r="D9" i="21" s="1"/>
  <c r="D19" i="21"/>
  <c r="P5" i="21"/>
  <c r="D23" i="21"/>
  <c r="L16" i="21"/>
  <c r="L21" i="21" s="1"/>
  <c r="L26" i="21" s="1"/>
  <c r="L31" i="21" s="1"/>
  <c r="L36" i="21" s="1"/>
  <c r="L41" i="21" s="1"/>
  <c r="L46" i="21" s="1"/>
  <c r="K16" i="21" l="1"/>
  <c r="M3" i="21"/>
  <c r="M5" i="21" s="1"/>
  <c r="N5" i="21"/>
  <c r="Q5" i="21"/>
  <c r="I11" i="21" s="1"/>
  <c r="E11" i="21" s="1"/>
  <c r="F11" i="21" s="1"/>
  <c r="O5" i="21"/>
  <c r="D20" i="21"/>
  <c r="L10" i="21"/>
  <c r="L15" i="21" s="1"/>
  <c r="L20" i="21" s="1"/>
  <c r="L25" i="21" s="1"/>
  <c r="L30" i="21" s="1"/>
  <c r="L35" i="21" s="1"/>
  <c r="L40" i="21" s="1"/>
  <c r="L45" i="21" s="1"/>
  <c r="K10" i="21"/>
  <c r="K15" i="21" s="1"/>
  <c r="B56" i="21"/>
  <c r="C55" i="21"/>
  <c r="D56" i="21"/>
  <c r="E55" i="21"/>
  <c r="B55" i="21"/>
  <c r="C56" i="21"/>
  <c r="D55" i="21"/>
  <c r="D22" i="21"/>
  <c r="L13" i="21"/>
  <c r="L18" i="21" s="1"/>
  <c r="L23" i="21" s="1"/>
  <c r="L28" i="21" s="1"/>
  <c r="L33" i="21" s="1"/>
  <c r="L38" i="21" s="1"/>
  <c r="L43" i="21" s="1"/>
  <c r="L48" i="21" s="1"/>
  <c r="L17" i="21"/>
  <c r="L22" i="21" s="1"/>
  <c r="L27" i="21" s="1"/>
  <c r="L32" i="21" s="1"/>
  <c r="L37" i="21" s="1"/>
  <c r="L42" i="21" s="1"/>
  <c r="L47" i="21" s="1"/>
  <c r="K13" i="21"/>
  <c r="K17" i="21"/>
  <c r="K39" i="21"/>
  <c r="K21" i="21"/>
  <c r="I21" i="21" s="1"/>
  <c r="D46" i="21"/>
  <c r="D26" i="21" s="1"/>
  <c r="D21" i="21"/>
  <c r="M14" i="21"/>
  <c r="M12" i="21"/>
  <c r="I9" i="21" l="1"/>
  <c r="E9" i="21" s="1"/>
  <c r="F9" i="21" s="1"/>
  <c r="I16" i="21"/>
  <c r="E16" i="21" s="1"/>
  <c r="F16" i="21" s="1"/>
  <c r="I12" i="21"/>
  <c r="I10" i="21"/>
  <c r="E10" i="21" s="1"/>
  <c r="F10" i="21" s="1"/>
  <c r="I15" i="21"/>
  <c r="E15" i="21" s="1"/>
  <c r="F15" i="21" s="1"/>
  <c r="K20" i="21"/>
  <c r="M19" i="21"/>
  <c r="I14" i="21"/>
  <c r="E14" i="21" s="1"/>
  <c r="F14" i="21" s="1"/>
  <c r="M17" i="21"/>
  <c r="M22" i="21" s="1"/>
  <c r="M27" i="21" s="1"/>
  <c r="M32" i="21" s="1"/>
  <c r="M37" i="21" s="1"/>
  <c r="M42" i="21" s="1"/>
  <c r="M47" i="21" s="1"/>
  <c r="M13" i="21"/>
  <c r="M18" i="21" s="1"/>
  <c r="M23" i="21" s="1"/>
  <c r="M28" i="21" s="1"/>
  <c r="M33" i="21" s="1"/>
  <c r="M38" i="21" s="1"/>
  <c r="M43" i="21" s="1"/>
  <c r="M48" i="21" s="1"/>
  <c r="K18" i="21"/>
  <c r="K44" i="21"/>
  <c r="E12" i="21"/>
  <c r="F12" i="21" s="1"/>
  <c r="K26" i="21"/>
  <c r="I26" i="21" s="1"/>
  <c r="E21" i="21"/>
  <c r="F21" i="21" s="1"/>
  <c r="K22" i="21"/>
  <c r="I22" i="21" s="1"/>
  <c r="K25" i="21" l="1"/>
  <c r="I20" i="21"/>
  <c r="E20" i="21" s="1"/>
  <c r="F20" i="21" s="1"/>
  <c r="I18" i="21"/>
  <c r="I13" i="21"/>
  <c r="I17" i="21"/>
  <c r="E17" i="21" s="1"/>
  <c r="F17" i="21" s="1"/>
  <c r="K31" i="21"/>
  <c r="I31" i="21" s="1"/>
  <c r="E26" i="21"/>
  <c r="F26" i="21" s="1"/>
  <c r="K27" i="21"/>
  <c r="I27" i="21" s="1"/>
  <c r="E22" i="21"/>
  <c r="F22" i="21" s="1"/>
  <c r="K23" i="21"/>
  <c r="I23" i="21" s="1"/>
  <c r="E18" i="21"/>
  <c r="F18" i="21" s="1"/>
  <c r="E13" i="21"/>
  <c r="F13" i="21" s="1"/>
  <c r="M24" i="21"/>
  <c r="I19" i="21"/>
  <c r="E19" i="21" s="1"/>
  <c r="F19" i="21" s="1"/>
  <c r="I25" i="21" l="1"/>
  <c r="E25" i="21" s="1"/>
  <c r="F25" i="21" s="1"/>
  <c r="K30" i="21"/>
  <c r="K32" i="21"/>
  <c r="I32" i="21" s="1"/>
  <c r="E27" i="21"/>
  <c r="F27" i="21" s="1"/>
  <c r="K28" i="21"/>
  <c r="I28" i="21" s="1"/>
  <c r="E23" i="21"/>
  <c r="F23" i="21" s="1"/>
  <c r="I24" i="21"/>
  <c r="E24" i="21" s="1"/>
  <c r="F24" i="21" s="1"/>
  <c r="M29" i="21"/>
  <c r="K36" i="21"/>
  <c r="I36" i="21" s="1"/>
  <c r="E31" i="21"/>
  <c r="F31" i="21" s="1"/>
  <c r="I30" i="21" l="1"/>
  <c r="E30" i="21" s="1"/>
  <c r="F30" i="21" s="1"/>
  <c r="K35" i="21"/>
  <c r="M34" i="21"/>
  <c r="I29" i="21"/>
  <c r="E29" i="21" s="1"/>
  <c r="F29" i="21" s="1"/>
  <c r="K41" i="21"/>
  <c r="I41" i="21" s="1"/>
  <c r="E36" i="21"/>
  <c r="F36" i="21" s="1"/>
  <c r="K33" i="21"/>
  <c r="I33" i="21" s="1"/>
  <c r="E28" i="21"/>
  <c r="F28" i="21" s="1"/>
  <c r="K37" i="21"/>
  <c r="I37" i="21" s="1"/>
  <c r="E32" i="21"/>
  <c r="F32" i="21" s="1"/>
  <c r="K40" i="21" l="1"/>
  <c r="I35" i="21"/>
  <c r="E35" i="21" s="1"/>
  <c r="F35" i="21" s="1"/>
  <c r="E37" i="21"/>
  <c r="F37" i="21" s="1"/>
  <c r="K42" i="21"/>
  <c r="I42" i="21" s="1"/>
  <c r="K46" i="21"/>
  <c r="E41" i="21"/>
  <c r="F41" i="21" s="1"/>
  <c r="E33" i="21"/>
  <c r="F33" i="21" s="1"/>
  <c r="K38" i="21"/>
  <c r="I38" i="21" s="1"/>
  <c r="M39" i="21"/>
  <c r="I34" i="21"/>
  <c r="E34" i="21" s="1"/>
  <c r="F34" i="21" s="1"/>
  <c r="I40" i="21" l="1"/>
  <c r="E40" i="21" s="1"/>
  <c r="F40" i="21" s="1"/>
  <c r="K45" i="21"/>
  <c r="I45" i="21" s="1"/>
  <c r="E45" i="21" s="1"/>
  <c r="F45" i="21" s="1"/>
  <c r="I46" i="21"/>
  <c r="E46" i="21" s="1"/>
  <c r="F46" i="21" s="1"/>
  <c r="M44" i="21"/>
  <c r="I44" i="21" s="1"/>
  <c r="E44" i="21" s="1"/>
  <c r="F44" i="21" s="1"/>
  <c r="I39" i="21"/>
  <c r="E39" i="21" s="1"/>
  <c r="F39" i="21" s="1"/>
  <c r="K43" i="21"/>
  <c r="I43" i="21" s="1"/>
  <c r="E38" i="21"/>
  <c r="F38" i="21" s="1"/>
  <c r="K47" i="21"/>
  <c r="E42" i="21"/>
  <c r="F42" i="21" s="1"/>
  <c r="I47" i="21" l="1"/>
  <c r="E47" i="21" s="1"/>
  <c r="F47" i="21" s="1"/>
  <c r="K48" i="21"/>
  <c r="E43" i="21"/>
  <c r="F43" i="21" s="1"/>
  <c r="I48" i="21" l="1"/>
  <c r="E48" i="21" s="1"/>
  <c r="F48" i="21" s="1"/>
</calcChain>
</file>

<file path=xl/comments1.xml><?xml version="1.0" encoding="utf-8"?>
<comments xmlns="http://schemas.openxmlformats.org/spreadsheetml/2006/main">
  <authors>
    <author>cbernabel</author>
  </authors>
  <commentList>
    <comment ref="R4" authorId="0">
      <text>
        <r>
          <rPr>
            <b/>
            <sz val="8"/>
            <color indexed="81"/>
            <rFont val="Tahoma"/>
            <family val="2"/>
          </rPr>
          <t>cbernabel: no se toma en cuenta en enero 2011 el</t>
        </r>
        <r>
          <rPr>
            <sz val="8"/>
            <color indexed="81"/>
            <rFont val="Tahoma"/>
            <family val="2"/>
          </rPr>
          <t xml:space="preserve">
DS 279-2010-EF (PUB. 31.12.2010)- , debido a que la tasa debe estar vigente el ultimo dia habil del mes de diciembre.  Despues tiene que ponerse a cero este valor.</t>
        </r>
      </text>
    </comment>
    <comment ref="Q30" authorId="0">
      <text>
        <r>
          <rPr>
            <b/>
            <sz val="8"/>
            <color indexed="81"/>
            <rFont val="Tahoma"/>
            <family val="2"/>
          </rPr>
          <t xml:space="preserve">Hasta antes de febrero 2011 es 9%
</t>
        </r>
        <r>
          <rPr>
            <sz val="8"/>
            <color indexed="81"/>
            <rFont val="Tahoma"/>
            <family val="2"/>
          </rPr>
          <t xml:space="preserve">
Se debe modificar a 6% a partir del siguiente ajuste (por indicadores) del mes de febrero 2011.</t>
        </r>
      </text>
    </comment>
  </commentList>
</comments>
</file>

<file path=xl/sharedStrings.xml><?xml version="1.0" encoding="utf-8"?>
<sst xmlns="http://schemas.openxmlformats.org/spreadsheetml/2006/main" count="169" uniqueCount="71">
  <si>
    <t>Inversiones 100% Empresa</t>
  </si>
  <si>
    <t>Región</t>
  </si>
  <si>
    <t>Tipo Módulo</t>
  </si>
  <si>
    <t>BT8-050</t>
  </si>
  <si>
    <t>BT8-080</t>
  </si>
  <si>
    <t>BT8-160</t>
  </si>
  <si>
    <t>BT8-240</t>
  </si>
  <si>
    <t>BT8-320</t>
  </si>
  <si>
    <t>Selva</t>
  </si>
  <si>
    <t>Amazonía (1)</t>
  </si>
  <si>
    <t>(1) Aplicable a las Zonas de la Amazonía bajo el ámbito de la Ley N° 27037, Ley de Promoción de la Inversión en la Amazonía.</t>
  </si>
  <si>
    <t>Inversiones 100% Estado</t>
  </si>
  <si>
    <t>Tipo de Módulo</t>
  </si>
  <si>
    <t>A</t>
  </si>
  <si>
    <t>B</t>
  </si>
  <si>
    <t>C</t>
  </si>
  <si>
    <t>Total</t>
  </si>
  <si>
    <t>BT8-050/BT8-080</t>
  </si>
  <si>
    <t>BT8-160/BT8-240/BT8-320</t>
  </si>
  <si>
    <t>Partida Arancelaria</t>
  </si>
  <si>
    <t>8504.31.90.00</t>
  </si>
  <si>
    <t>8507.20.00.00</t>
  </si>
  <si>
    <t>8541.40.10.00</t>
  </si>
  <si>
    <t>9032.89.11.00</t>
  </si>
  <si>
    <t>Inversor</t>
  </si>
  <si>
    <t>Batería</t>
  </si>
  <si>
    <t>Panel</t>
  </si>
  <si>
    <t>Controlador</t>
  </si>
  <si>
    <r>
      <t>TA</t>
    </r>
    <r>
      <rPr>
        <b/>
        <vertAlign val="subscript"/>
        <sz val="10"/>
        <rFont val="Arial"/>
        <family val="2"/>
      </rPr>
      <t>0</t>
    </r>
  </si>
  <si>
    <t>Cargo Fijo Equivalente por Energía Promedio (ctm. S/./kW.h)</t>
  </si>
  <si>
    <t>Costa</t>
  </si>
  <si>
    <t>Sierra</t>
  </si>
  <si>
    <t>Selva y Amazonía</t>
  </si>
  <si>
    <t>Cargo</t>
  </si>
  <si>
    <t>Corte</t>
  </si>
  <si>
    <t>Reconexión</t>
  </si>
  <si>
    <t>Cargos de Corte y Reconexión - S/.</t>
  </si>
  <si>
    <t>Energía Promedio Mensual Disponible (kW.h/mes)</t>
  </si>
  <si>
    <t>Tarifa Eléctrica Rural para Sistemas Fotovoltaicos</t>
  </si>
  <si>
    <t>(No incluye IGV)</t>
  </si>
  <si>
    <t>Cargo Fijo Equivalente por Energía Promedio (ctm.S/./kW.h)</t>
  </si>
  <si>
    <t>Con FOSE</t>
  </si>
  <si>
    <t>Inversiones</t>
  </si>
  <si>
    <t>Region</t>
  </si>
  <si>
    <t>Energía Promedio Mensual Disponible (kW.h)</t>
  </si>
  <si>
    <t>Sin FOSE</t>
  </si>
  <si>
    <t>100% Empresa</t>
  </si>
  <si>
    <t xml:space="preserve">Costa </t>
  </si>
  <si>
    <t xml:space="preserve">Selva  </t>
  </si>
  <si>
    <t>CFEEPo</t>
  </si>
  <si>
    <t>FA</t>
  </si>
  <si>
    <t>IPM</t>
  </si>
  <si>
    <t>Base</t>
  </si>
  <si>
    <t>D</t>
  </si>
  <si>
    <t>TC</t>
  </si>
  <si>
    <t>IPCu</t>
  </si>
  <si>
    <t>Factor</t>
  </si>
  <si>
    <t>(1) Aplicable en zonas de la amazonía bajo el ámbito de la Ley N° 27037</t>
  </si>
  <si>
    <t>100% Estado</t>
  </si>
  <si>
    <t>Resolución OSINERGMIN N° 206-2010</t>
  </si>
  <si>
    <t>TA</t>
  </si>
  <si>
    <t>Arancel x Partida (Inicial)</t>
  </si>
  <si>
    <t>Arancel x Partida (Actual)</t>
  </si>
  <si>
    <t xml:space="preserve"> (BT8-050/BT8-080)</t>
  </si>
  <si>
    <t>Cargos de Corte y Reconexión - S/. Iniciales</t>
  </si>
  <si>
    <t>TA Cu (%)</t>
  </si>
  <si>
    <t>7413.00.00.00</t>
  </si>
  <si>
    <t>D Cu</t>
  </si>
  <si>
    <t>RM523-2010</t>
  </si>
  <si>
    <t>MEM-DM</t>
  </si>
  <si>
    <t>Modificado por Resolución 243-2010 OS/CD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</si>
</sst>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_-* #,##0.00\ [$€]_-;\-* #,##0.00\ [$€]_-;_-* &quot;-&quot;??\ [$€]_-;_-@_-"/>
    <numFmt numFmtId="166" formatCode="dd\-mmm\-yyyy"/>
  </numFmts>
  <fonts count="2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top"/>
    </xf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6">
    <xf numFmtId="0" fontId="0" fillId="0" borderId="0" xfId="0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9" fillId="0" borderId="1" xfId="0" applyFont="1" applyBorder="1" applyAlignment="1">
      <alignment horizontal="center"/>
    </xf>
    <xf numFmtId="0" fontId="6" fillId="0" borderId="2" xfId="0" applyFont="1" applyBorder="1">
      <alignment vertical="top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4" applyFont="1" applyFill="1" applyBorder="1" applyAlignment="1">
      <alignment horizontal="center"/>
    </xf>
    <xf numFmtId="4" fontId="6" fillId="0" borderId="4" xfId="0" applyNumberFormat="1" applyFont="1" applyBorder="1" applyAlignment="1">
      <alignment horizontal="right" indent="1"/>
    </xf>
    <xf numFmtId="0" fontId="11" fillId="0" borderId="0" xfId="0" applyFont="1">
      <alignment vertical="top"/>
    </xf>
    <xf numFmtId="0" fontId="10" fillId="0" borderId="0" xfId="4" applyFont="1" applyFill="1" applyBorder="1" applyAlignment="1">
      <alignment horizontal="center"/>
    </xf>
    <xf numFmtId="4" fontId="6" fillId="0" borderId="0" xfId="0" applyNumberFormat="1" applyFont="1" applyBorder="1" applyAlignment="1">
      <alignment horizontal="right" indent="1"/>
    </xf>
    <xf numFmtId="0" fontId="3" fillId="0" borderId="4" xfId="2" applyFont="1" applyBorder="1" applyAlignment="1">
      <alignment horizontal="center"/>
    </xf>
    <xf numFmtId="0" fontId="5" fillId="0" borderId="0" xfId="2" applyFont="1"/>
    <xf numFmtId="0" fontId="5" fillId="0" borderId="4" xfId="2" applyFont="1" applyBorder="1" applyAlignment="1">
      <alignment horizontal="center"/>
    </xf>
    <xf numFmtId="164" fontId="5" fillId="0" borderId="4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5" fillId="0" borderId="2" xfId="2" applyFont="1" applyBorder="1"/>
    <xf numFmtId="0" fontId="3" fillId="0" borderId="2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10" fontId="5" fillId="0" borderId="4" xfId="5" applyNumberFormat="1" applyFont="1" applyBorder="1" applyAlignment="1">
      <alignment horizontal="center"/>
    </xf>
    <xf numFmtId="9" fontId="5" fillId="0" borderId="4" xfId="5" applyFont="1" applyBorder="1" applyAlignment="1">
      <alignment horizontal="center"/>
    </xf>
    <xf numFmtId="0" fontId="8" fillId="0" borderId="0" xfId="3" applyFont="1"/>
    <xf numFmtId="0" fontId="1" fillId="0" borderId="0" xfId="3"/>
    <xf numFmtId="0" fontId="9" fillId="0" borderId="4" xfId="3" applyFont="1" applyBorder="1" applyAlignment="1">
      <alignment horizontal="center"/>
    </xf>
    <xf numFmtId="0" fontId="11" fillId="0" borderId="0" xfId="3" applyFont="1"/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4" fontId="16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/>
    <xf numFmtId="0" fontId="19" fillId="3" borderId="0" xfId="0" applyFont="1" applyFill="1" applyAlignment="1"/>
    <xf numFmtId="0" fontId="5" fillId="0" borderId="4" xfId="2" applyFont="1" applyBorder="1"/>
    <xf numFmtId="10" fontId="0" fillId="0" borderId="4" xfId="0" applyNumberFormat="1" applyBorder="1" applyAlignment="1"/>
    <xf numFmtId="0" fontId="0" fillId="0" borderId="2" xfId="0" applyBorder="1" applyAlignment="1"/>
    <xf numFmtId="10" fontId="0" fillId="0" borderId="2" xfId="0" applyNumberFormat="1" applyBorder="1" applyAlignment="1"/>
    <xf numFmtId="0" fontId="16" fillId="0" borderId="0" xfId="0" applyFont="1" applyAlignment="1"/>
    <xf numFmtId="0" fontId="20" fillId="0" borderId="0" xfId="0" applyFont="1" applyAlignment="1"/>
    <xf numFmtId="9" fontId="0" fillId="0" borderId="4" xfId="0" applyNumberFormat="1" applyBorder="1" applyAlignment="1">
      <alignment horizontal="center"/>
    </xf>
    <xf numFmtId="0" fontId="3" fillId="0" borderId="0" xfId="0" applyFont="1">
      <alignment vertical="top"/>
    </xf>
    <xf numFmtId="0" fontId="0" fillId="0" borderId="4" xfId="0" applyFill="1" applyBorder="1" applyAlignment="1">
      <alignment horizontal="center"/>
    </xf>
    <xf numFmtId="0" fontId="19" fillId="0" borderId="4" xfId="0" applyFont="1" applyBorder="1" applyAlignment="1" applyProtection="1">
      <protection locked="0"/>
    </xf>
    <xf numFmtId="9" fontId="18" fillId="0" borderId="4" xfId="5" applyFont="1" applyBorder="1" applyAlignment="1" applyProtection="1">
      <alignment horizontal="center"/>
      <protection locked="0"/>
    </xf>
    <xf numFmtId="9" fontId="19" fillId="0" borderId="4" xfId="0" applyNumberFormat="1" applyFont="1" applyBorder="1" applyAlignment="1" applyProtection="1">
      <alignment horizontal="center"/>
      <protection locked="0"/>
    </xf>
    <xf numFmtId="0" fontId="15" fillId="0" borderId="0" xfId="0" applyFont="1" applyProtection="1">
      <alignment vertical="top"/>
      <protection locked="0"/>
    </xf>
    <xf numFmtId="166" fontId="19" fillId="0" borderId="4" xfId="0" applyNumberFormat="1" applyFont="1" applyBorder="1" applyAlignment="1" applyProtection="1">
      <protection locked="0"/>
    </xf>
    <xf numFmtId="4" fontId="18" fillId="3" borderId="4" xfId="0" applyNumberFormat="1" applyFont="1" applyFill="1" applyBorder="1" applyAlignment="1">
      <alignment horizontal="right" indent="1"/>
    </xf>
    <xf numFmtId="0" fontId="1" fillId="0" borderId="4" xfId="0" applyFont="1" applyFill="1" applyBorder="1" applyAlignment="1"/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9" fillId="0" borderId="4" xfId="0" applyFont="1" applyBorder="1" applyAlignment="1">
      <alignment horizontal="center"/>
    </xf>
    <xf numFmtId="9" fontId="0" fillId="0" borderId="4" xfId="0" applyNumberFormat="1" applyBorder="1" applyAlignment="1"/>
    <xf numFmtId="0" fontId="23" fillId="0" borderId="0" xfId="0" applyFont="1" applyAlignment="1"/>
    <xf numFmtId="2" fontId="0" fillId="0" borderId="4" xfId="0" applyNumberFormat="1" applyBorder="1" applyAlignment="1"/>
    <xf numFmtId="4" fontId="6" fillId="2" borderId="2" xfId="0" applyNumberFormat="1" applyFont="1" applyFill="1" applyBorder="1" applyAlignment="1">
      <alignment horizontal="center"/>
    </xf>
    <xf numFmtId="4" fontId="17" fillId="2" borderId="2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6" xfId="2" applyFont="1" applyBorder="1" applyAlignment="1">
      <alignment horizontal="center"/>
    </xf>
  </cellXfs>
  <cellStyles count="6">
    <cellStyle name="Euro" xfId="1"/>
    <cellStyle name="Normal" xfId="0" builtinId="0"/>
    <cellStyle name="Normal_INF-216-2010-GART_Prepublicación_SF" xfId="2"/>
    <cellStyle name="Normal_INF-270-2010-GART_Fijación_SF" xfId="3"/>
    <cellStyle name="Normal_VAD Piura Abr2009" xfId="4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</xdr:colOff>
      <xdr:row>6</xdr:row>
      <xdr:rowOff>161925</xdr:rowOff>
    </xdr:from>
    <xdr:to>
      <xdr:col>18</xdr:col>
      <xdr:colOff>504825</xdr:colOff>
      <xdr:row>8</xdr:row>
      <xdr:rowOff>104775</xdr:rowOff>
    </xdr:to>
    <xdr:pic>
      <xdr:nvPicPr>
        <xdr:cNvPr id="10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171575"/>
          <a:ext cx="49625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collantes\Configuraci&#243;n%20local\Archivos%20temporales%20de%20Internet\OLK18C\TF062005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onVAD"/>
      <sheetName val="PBEMT"/>
      <sheetName val="BarraFactores"/>
      <sheetName val="TransSecun"/>
      <sheetName val="Pliegos"/>
      <sheetName val="PliegosFOSE"/>
      <sheetName val="FBP"/>
      <sheetName val="Ep"/>
      <sheetName val="PTP"/>
      <sheetName val="FPerd"/>
      <sheetName val="Cálculo Precios Medios"/>
      <sheetName val="Precios Medios"/>
      <sheetName val="Precios Medios FOSE"/>
      <sheetName val="Cargos"/>
      <sheetName val="CargosFOSE"/>
      <sheetName val="ParaFormu"/>
      <sheetName val="EstructuraBT5"/>
      <sheetName val="Tabla_Resumen"/>
      <sheetName val="Tabla_ResumenFOS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showGridLines="0" tabSelected="1" workbookViewId="0">
      <selection activeCell="K7" sqref="K7"/>
    </sheetView>
  </sheetViews>
  <sheetFormatPr baseColWidth="10" defaultRowHeight="12.75"/>
  <cols>
    <col min="1" max="1" width="16.7109375" customWidth="1"/>
    <col min="2" max="2" width="12" bestFit="1" customWidth="1"/>
    <col min="3" max="3" width="9" customWidth="1"/>
    <col min="4" max="4" width="9.5703125" bestFit="1" customWidth="1"/>
    <col min="5" max="5" width="9.42578125" bestFit="1" customWidth="1"/>
    <col min="6" max="6" width="10" customWidth="1"/>
    <col min="8" max="8" width="12.28515625" customWidth="1"/>
    <col min="9" max="9" width="11.7109375" bestFit="1" customWidth="1"/>
    <col min="11" max="13" width="15.85546875" customWidth="1"/>
    <col min="15" max="15" width="22.85546875" customWidth="1"/>
    <col min="16" max="16" width="15.85546875" customWidth="1"/>
    <col min="17" max="17" width="15" customWidth="1"/>
    <col min="18" max="18" width="13.28515625" customWidth="1"/>
    <col min="19" max="19" width="13.5703125" customWidth="1"/>
  </cols>
  <sheetData>
    <row r="1" spans="1:19">
      <c r="M1" s="81" t="s">
        <v>63</v>
      </c>
      <c r="N1" s="82"/>
      <c r="O1" s="81" t="s">
        <v>18</v>
      </c>
      <c r="P1" s="82"/>
      <c r="Q1" s="77" t="s">
        <v>66</v>
      </c>
      <c r="R1" s="78"/>
    </row>
    <row r="2" spans="1:19">
      <c r="H2" s="63" t="s">
        <v>68</v>
      </c>
      <c r="J2" s="40" t="s">
        <v>51</v>
      </c>
      <c r="K2" s="40" t="s">
        <v>54</v>
      </c>
      <c r="L2" s="40" t="s">
        <v>55</v>
      </c>
      <c r="M2" s="40" t="s">
        <v>53</v>
      </c>
      <c r="N2" s="40" t="s">
        <v>60</v>
      </c>
      <c r="O2" s="40" t="s">
        <v>53</v>
      </c>
      <c r="P2" s="40" t="s">
        <v>60</v>
      </c>
      <c r="Q2" s="54" t="s">
        <v>67</v>
      </c>
      <c r="R2" s="40" t="s">
        <v>65</v>
      </c>
    </row>
    <row r="3" spans="1:19">
      <c r="H3" s="64" t="s">
        <v>69</v>
      </c>
      <c r="I3" s="62" t="s">
        <v>52</v>
      </c>
      <c r="J3" s="39">
        <v>192.662612</v>
      </c>
      <c r="K3" s="39">
        <v>2.8450000000000002</v>
      </c>
      <c r="L3" s="39">
        <v>298.27999999999997</v>
      </c>
      <c r="M3" s="48">
        <f>+K3*(1+N3)</f>
        <v>3.0176915000000002</v>
      </c>
      <c r="N3" s="49">
        <f>+P33</f>
        <v>6.0699999999999997E-2</v>
      </c>
      <c r="O3" s="48">
        <f>+K3*(1+P3)</f>
        <v>2.9696110000000004</v>
      </c>
      <c r="P3" s="47">
        <f>+P34</f>
        <v>4.3799999999999999E-2</v>
      </c>
      <c r="Q3" s="48">
        <f>+K3*(1+R3)</f>
        <v>3.1010500000000003</v>
      </c>
      <c r="R3" s="52">
        <v>0.09</v>
      </c>
    </row>
    <row r="4" spans="1:19" ht="15.75">
      <c r="A4" s="29" t="s">
        <v>38</v>
      </c>
      <c r="B4" s="1"/>
      <c r="C4" s="1"/>
      <c r="D4" s="1"/>
      <c r="E4" s="1"/>
      <c r="F4" s="1"/>
      <c r="H4" s="65">
        <v>1.28</v>
      </c>
      <c r="I4" s="59">
        <v>41398</v>
      </c>
      <c r="J4" s="55">
        <v>207.444568</v>
      </c>
      <c r="K4" s="55">
        <v>2.6459999999999999</v>
      </c>
      <c r="L4" s="55">
        <v>356.32500000000005</v>
      </c>
      <c r="M4" s="39">
        <f>+K4*(1+N4)</f>
        <v>2.7528983999999999</v>
      </c>
      <c r="N4" s="47">
        <f>+Q33</f>
        <v>4.0399999999999998E-2</v>
      </c>
      <c r="O4" s="48">
        <f>+K4*(1+P4)</f>
        <v>2.7232631999999994</v>
      </c>
      <c r="P4" s="47">
        <f>+Q34</f>
        <v>2.92E-2</v>
      </c>
      <c r="Q4" s="48">
        <f>+K4*(1+R4)</f>
        <v>2.6459999999999999</v>
      </c>
      <c r="R4" s="57">
        <v>0</v>
      </c>
    </row>
    <row r="5" spans="1:19">
      <c r="A5" s="30" t="s">
        <v>39</v>
      </c>
      <c r="B5" s="1"/>
      <c r="C5" s="1"/>
      <c r="D5" s="1"/>
      <c r="E5" s="1"/>
      <c r="F5" s="1"/>
      <c r="I5" s="39" t="s">
        <v>56</v>
      </c>
      <c r="J5" s="39">
        <f t="shared" ref="J5:Q5" si="0">+J4/J3</f>
        <v>1.0767245696845427</v>
      </c>
      <c r="K5" s="39">
        <f t="shared" si="0"/>
        <v>0.93005272407732853</v>
      </c>
      <c r="L5" s="39">
        <f t="shared" si="0"/>
        <v>1.1945990344642621</v>
      </c>
      <c r="M5" s="39">
        <f t="shared" si="0"/>
        <v>0.91225309147737588</v>
      </c>
      <c r="N5" s="39">
        <f t="shared" si="0"/>
        <v>0.66556836902800665</v>
      </c>
      <c r="O5" s="39">
        <f t="shared" si="0"/>
        <v>0.91704374748073036</v>
      </c>
      <c r="P5" s="39">
        <f t="shared" si="0"/>
        <v>0.66666666666666674</v>
      </c>
      <c r="Q5" s="39">
        <f t="shared" si="0"/>
        <v>0.85325937988745737</v>
      </c>
      <c r="R5" s="66">
        <v>-0.09</v>
      </c>
    </row>
    <row r="6" spans="1:19">
      <c r="A6" s="58" t="str">
        <f>CONCATENATE("Vigente a partir del ",TEXT(I4,"DD/MMM/YYYY"))</f>
        <v>Vigente a partir del 04/may/2013</v>
      </c>
      <c r="B6" s="1"/>
      <c r="C6" s="1"/>
      <c r="D6" s="1"/>
      <c r="E6" s="1"/>
      <c r="F6" s="1"/>
    </row>
    <row r="7" spans="1:19" ht="42" customHeight="1">
      <c r="A7" s="1"/>
      <c r="B7" s="1"/>
      <c r="C7" s="1"/>
      <c r="D7" s="1"/>
      <c r="E7" s="79" t="s">
        <v>40</v>
      </c>
      <c r="F7" s="80"/>
    </row>
    <row r="8" spans="1:19" ht="63.75">
      <c r="A8" s="32" t="s">
        <v>42</v>
      </c>
      <c r="B8" s="32" t="s">
        <v>43</v>
      </c>
      <c r="C8" s="32" t="s">
        <v>12</v>
      </c>
      <c r="D8" s="32" t="s">
        <v>44</v>
      </c>
      <c r="E8" s="33" t="s">
        <v>45</v>
      </c>
      <c r="F8" s="34" t="s">
        <v>41</v>
      </c>
      <c r="H8" s="40" t="s">
        <v>49</v>
      </c>
      <c r="I8" s="40" t="s">
        <v>50</v>
      </c>
      <c r="K8" s="45" t="s">
        <v>59</v>
      </c>
      <c r="L8" s="45"/>
      <c r="M8" s="45"/>
    </row>
    <row r="9" spans="1:19">
      <c r="A9" s="71" t="s">
        <v>58</v>
      </c>
      <c r="B9" s="71" t="s">
        <v>47</v>
      </c>
      <c r="C9" s="36" t="s">
        <v>3</v>
      </c>
      <c r="D9" s="37">
        <f>+D29</f>
        <v>7.32</v>
      </c>
      <c r="E9" s="69">
        <f t="shared" ref="E9:E28" si="1">+ROUND(H9*I9,2)</f>
        <v>411.4</v>
      </c>
      <c r="F9" s="69">
        <f>+E9*(1-0.625*MEM_DM)</f>
        <v>82.279999999999973</v>
      </c>
      <c r="H9" s="41">
        <f>+P53</f>
        <v>409.97</v>
      </c>
      <c r="I9" s="40">
        <f>+ROUND(K9*$J$5+L9*$M$5+M9*$L$5*$Q$5,4)</f>
        <v>1.0035000000000001</v>
      </c>
      <c r="K9" s="50">
        <f>+PliegoRural!P16</f>
        <v>0.53859999999999997</v>
      </c>
      <c r="L9" s="50">
        <f>+PliegoRural!Q16</f>
        <v>0.43690000000000001</v>
      </c>
      <c r="M9" s="50">
        <f>+PliegoRural!R16</f>
        <v>2.4500000000000001E-2</v>
      </c>
    </row>
    <row r="10" spans="1:19">
      <c r="A10" s="72"/>
      <c r="B10" s="72"/>
      <c r="C10" s="36" t="s">
        <v>4</v>
      </c>
      <c r="D10" s="37">
        <f t="shared" ref="D10:D28" si="2">+D30</f>
        <v>11.75</v>
      </c>
      <c r="E10" s="69">
        <f t="shared" si="1"/>
        <v>309.76</v>
      </c>
      <c r="F10" s="69">
        <f>+E10*(1-0.625*MEM_DM)</f>
        <v>61.951999999999984</v>
      </c>
      <c r="H10" s="41">
        <f>+Q53</f>
        <v>308.68</v>
      </c>
      <c r="I10" s="40">
        <f t="shared" ref="I10:I45" si="3">+ROUND(K10*$J$5+L10*$M$5+M10*$L$5*$Q$5,4)</f>
        <v>1.0035000000000001</v>
      </c>
      <c r="K10" s="44">
        <f>+K9</f>
        <v>0.53859999999999997</v>
      </c>
      <c r="L10" s="44">
        <f>+L9</f>
        <v>0.43690000000000001</v>
      </c>
      <c r="M10" s="44">
        <f>+M9</f>
        <v>2.4500000000000001E-2</v>
      </c>
    </row>
    <row r="11" spans="1:19">
      <c r="A11" s="72"/>
      <c r="B11" s="72"/>
      <c r="C11" s="36" t="s">
        <v>5</v>
      </c>
      <c r="D11" s="37">
        <f t="shared" si="2"/>
        <v>16.73</v>
      </c>
      <c r="E11" s="69">
        <f t="shared" si="1"/>
        <v>284.83999999999997</v>
      </c>
      <c r="F11" s="69">
        <f>+E11*(1-0.625*MEM_DM)</f>
        <v>56.967999999999982</v>
      </c>
      <c r="H11" s="41">
        <f>+R53</f>
        <v>291.81</v>
      </c>
      <c r="I11" s="40">
        <f>+ROUND(K11*$J$5+L11*$O$5+M11*$L$5*$Q$5,4)</f>
        <v>0.97609999999999997</v>
      </c>
      <c r="K11" s="51">
        <f>+PliegoRural!P17</f>
        <v>0.36380000000000001</v>
      </c>
      <c r="L11" s="51">
        <f>+PliegoRural!Q17</f>
        <v>0.62629999999999997</v>
      </c>
      <c r="M11" s="51">
        <f>+PliegoRural!R17</f>
        <v>9.9000000000000008E-3</v>
      </c>
    </row>
    <row r="12" spans="1:19">
      <c r="A12" s="72"/>
      <c r="B12" s="72"/>
      <c r="C12" s="36" t="s">
        <v>6</v>
      </c>
      <c r="D12" s="37">
        <f t="shared" si="2"/>
        <v>24.92</v>
      </c>
      <c r="E12" s="69">
        <f t="shared" si="1"/>
        <v>261.64999999999998</v>
      </c>
      <c r="F12" s="69">
        <f>+E12*(1-0.625*MEM_DM)</f>
        <v>52.329999999999984</v>
      </c>
      <c r="H12" s="41">
        <f>+S53</f>
        <v>268.06</v>
      </c>
      <c r="I12" s="40">
        <f>+ROUND(K12*$J$5+L12*$O$5+M12*$L$5*$Q$5,4)</f>
        <v>0.97609999999999997</v>
      </c>
      <c r="K12">
        <f t="shared" ref="K12:M13" si="4">+K11</f>
        <v>0.36380000000000001</v>
      </c>
      <c r="L12">
        <f t="shared" si="4"/>
        <v>0.62629999999999997</v>
      </c>
      <c r="M12">
        <f t="shared" si="4"/>
        <v>9.9000000000000008E-3</v>
      </c>
    </row>
    <row r="13" spans="1:19">
      <c r="A13" s="72"/>
      <c r="B13" s="73"/>
      <c r="C13" s="36" t="s">
        <v>7</v>
      </c>
      <c r="D13" s="37">
        <f t="shared" si="2"/>
        <v>33.14</v>
      </c>
      <c r="E13" s="69">
        <f t="shared" si="1"/>
        <v>248.94</v>
      </c>
      <c r="F13" s="69">
        <f>+E13-18.75*E13/D13*MEM_DM</f>
        <v>68.657561858780923</v>
      </c>
      <c r="H13" s="41">
        <f>+T53</f>
        <v>255.04</v>
      </c>
      <c r="I13" s="40">
        <f>+ROUND(K13*$J$5+L13*$O$5+M13*$L$5*$Q$5,4)</f>
        <v>0.97609999999999997</v>
      </c>
      <c r="K13">
        <f t="shared" si="4"/>
        <v>0.36380000000000001</v>
      </c>
      <c r="L13">
        <f t="shared" si="4"/>
        <v>0.62629999999999997</v>
      </c>
      <c r="M13">
        <f t="shared" si="4"/>
        <v>9.9000000000000008E-3</v>
      </c>
    </row>
    <row r="14" spans="1:19">
      <c r="A14" s="72"/>
      <c r="B14" s="71" t="s">
        <v>31</v>
      </c>
      <c r="C14" s="36" t="s">
        <v>3</v>
      </c>
      <c r="D14" s="37">
        <f t="shared" si="2"/>
        <v>7.24</v>
      </c>
      <c r="E14" s="69">
        <f t="shared" si="1"/>
        <v>426.21</v>
      </c>
      <c r="F14" s="69">
        <f>+E14*(1-0.625*MEM_DM)</f>
        <v>85.241999999999976</v>
      </c>
      <c r="H14" s="38">
        <f>+P54</f>
        <v>424.72</v>
      </c>
      <c r="I14" s="40">
        <f t="shared" si="3"/>
        <v>1.0035000000000001</v>
      </c>
      <c r="K14" s="44">
        <f>+K9</f>
        <v>0.53859999999999997</v>
      </c>
      <c r="L14" s="44">
        <f>+L9</f>
        <v>0.43690000000000001</v>
      </c>
      <c r="M14" s="44">
        <f>+M9</f>
        <v>2.4500000000000001E-2</v>
      </c>
    </row>
    <row r="15" spans="1:19">
      <c r="A15" s="72"/>
      <c r="B15" s="72"/>
      <c r="C15" s="36" t="s">
        <v>4</v>
      </c>
      <c r="D15" s="37">
        <f t="shared" si="2"/>
        <v>11.54</v>
      </c>
      <c r="E15" s="69">
        <f t="shared" si="1"/>
        <v>321.83</v>
      </c>
      <c r="F15" s="69">
        <f>+E15*(1-0.625*MEM_DM)</f>
        <v>64.365999999999985</v>
      </c>
      <c r="H15" s="38">
        <f>+Q54</f>
        <v>320.70999999999998</v>
      </c>
      <c r="I15" s="40">
        <f t="shared" si="3"/>
        <v>1.0035000000000001</v>
      </c>
      <c r="K15" s="44">
        <f t="shared" ref="K15:M48" si="5">+K10</f>
        <v>0.53859999999999997</v>
      </c>
      <c r="L15" s="44">
        <f t="shared" si="5"/>
        <v>0.43690000000000001</v>
      </c>
      <c r="M15" s="44">
        <f t="shared" si="5"/>
        <v>2.4500000000000001E-2</v>
      </c>
      <c r="O15" s="12" t="s">
        <v>12</v>
      </c>
      <c r="P15" s="12" t="s">
        <v>13</v>
      </c>
      <c r="Q15" s="12" t="s">
        <v>14</v>
      </c>
      <c r="R15" s="12" t="s">
        <v>15</v>
      </c>
      <c r="S15" s="12" t="s">
        <v>16</v>
      </c>
    </row>
    <row r="16" spans="1:19">
      <c r="A16" s="72"/>
      <c r="B16" s="72"/>
      <c r="C16" s="36" t="s">
        <v>5</v>
      </c>
      <c r="D16" s="37">
        <f t="shared" si="2"/>
        <v>16.510000000000002</v>
      </c>
      <c r="E16" s="69">
        <f t="shared" si="1"/>
        <v>293.01</v>
      </c>
      <c r="F16" s="69">
        <f>+E16*(1-0.625*MEM_DM)</f>
        <v>58.601999999999983</v>
      </c>
      <c r="H16" s="38">
        <f>+R54</f>
        <v>300.18</v>
      </c>
      <c r="I16" s="40">
        <f>+ROUND(K16*$J$5+L16*$O$5+M16*$L$5*$Q$5,4)</f>
        <v>0.97609999999999997</v>
      </c>
      <c r="K16" s="44">
        <f t="shared" si="5"/>
        <v>0.36380000000000001</v>
      </c>
      <c r="L16" s="44">
        <f t="shared" si="5"/>
        <v>0.62629999999999997</v>
      </c>
      <c r="M16" s="44">
        <f t="shared" si="5"/>
        <v>9.9000000000000008E-3</v>
      </c>
      <c r="O16" s="14" t="s">
        <v>17</v>
      </c>
      <c r="P16" s="15">
        <v>0.53859999999999997</v>
      </c>
      <c r="Q16" s="15">
        <v>0.43690000000000001</v>
      </c>
      <c r="R16" s="15">
        <v>2.4500000000000001E-2</v>
      </c>
      <c r="S16" s="15">
        <f>SUM(P16:R16)</f>
        <v>1</v>
      </c>
    </row>
    <row r="17" spans="1:20">
      <c r="A17" s="72"/>
      <c r="B17" s="72"/>
      <c r="C17" s="36" t="s">
        <v>6</v>
      </c>
      <c r="D17" s="37">
        <f t="shared" si="2"/>
        <v>24.51</v>
      </c>
      <c r="E17" s="69">
        <f t="shared" si="1"/>
        <v>269.52999999999997</v>
      </c>
      <c r="F17" s="69">
        <f>+E17*(1-0.625*MEM_DM)</f>
        <v>53.905999999999985</v>
      </c>
      <c r="H17" s="38">
        <f>+S54</f>
        <v>276.13</v>
      </c>
      <c r="I17" s="40">
        <f>+ROUND(K17*$J$5+L17*$O$5+M17*$L$5*$Q$5,4)</f>
        <v>0.97609999999999997</v>
      </c>
      <c r="K17" s="44">
        <f t="shared" si="5"/>
        <v>0.36380000000000001</v>
      </c>
      <c r="L17" s="44">
        <f t="shared" si="5"/>
        <v>0.62629999999999997</v>
      </c>
      <c r="M17" s="44">
        <f t="shared" si="5"/>
        <v>9.9000000000000008E-3</v>
      </c>
      <c r="O17" s="14" t="s">
        <v>18</v>
      </c>
      <c r="P17" s="14">
        <v>0.36380000000000001</v>
      </c>
      <c r="Q17" s="14">
        <v>0.62629999999999997</v>
      </c>
      <c r="R17" s="14">
        <v>9.9000000000000008E-3</v>
      </c>
      <c r="S17" s="15">
        <f>SUM(S16)</f>
        <v>1</v>
      </c>
    </row>
    <row r="18" spans="1:20">
      <c r="A18" s="72"/>
      <c r="B18" s="73"/>
      <c r="C18" s="36" t="s">
        <v>7</v>
      </c>
      <c r="D18" s="37">
        <f t="shared" si="2"/>
        <v>32.81</v>
      </c>
      <c r="E18" s="69">
        <f t="shared" si="1"/>
        <v>254.24</v>
      </c>
      <c r="F18" s="69">
        <f>+E18-18.75*E18/D18*MEM_DM</f>
        <v>68.267430661383742</v>
      </c>
      <c r="H18" s="38">
        <f>+T54</f>
        <v>260.47000000000003</v>
      </c>
      <c r="I18" s="40">
        <f>+ROUND(K18*$J$5+L18*$O$5+M18*$L$5*$Q$5,4)</f>
        <v>0.97609999999999997</v>
      </c>
      <c r="K18" s="44">
        <f t="shared" si="5"/>
        <v>0.36380000000000001</v>
      </c>
      <c r="L18" s="44">
        <f t="shared" si="5"/>
        <v>0.62629999999999997</v>
      </c>
      <c r="M18" s="44">
        <f t="shared" si="5"/>
        <v>9.9000000000000008E-3</v>
      </c>
    </row>
    <row r="19" spans="1:20">
      <c r="A19" s="72"/>
      <c r="B19" s="71" t="s">
        <v>48</v>
      </c>
      <c r="C19" s="36" t="s">
        <v>3</v>
      </c>
      <c r="D19" s="37">
        <f t="shared" si="2"/>
        <v>6.07</v>
      </c>
      <c r="E19" s="69">
        <f t="shared" si="1"/>
        <v>581.27</v>
      </c>
      <c r="F19" s="69">
        <f t="shared" ref="F19:F32" si="6">+E19*(1-0.625*MEM_DM)</f>
        <v>116.25399999999998</v>
      </c>
      <c r="H19" s="41">
        <f>+P55</f>
        <v>579.24</v>
      </c>
      <c r="I19" s="40">
        <f t="shared" si="3"/>
        <v>1.0035000000000001</v>
      </c>
      <c r="K19" s="44">
        <f t="shared" si="5"/>
        <v>0.53859999999999997</v>
      </c>
      <c r="L19" s="44">
        <f t="shared" si="5"/>
        <v>0.43690000000000001</v>
      </c>
      <c r="M19" s="44">
        <f t="shared" si="5"/>
        <v>2.4500000000000001E-2</v>
      </c>
    </row>
    <row r="20" spans="1:20">
      <c r="A20" s="72"/>
      <c r="B20" s="72"/>
      <c r="C20" s="36" t="s">
        <v>4</v>
      </c>
      <c r="D20" s="37">
        <f t="shared" si="2"/>
        <v>9.66</v>
      </c>
      <c r="E20" s="69">
        <f t="shared" si="1"/>
        <v>448.35</v>
      </c>
      <c r="F20" s="69">
        <f t="shared" si="6"/>
        <v>89.669999999999987</v>
      </c>
      <c r="H20" s="41">
        <f>+Q55</f>
        <v>446.79</v>
      </c>
      <c r="I20" s="40">
        <f t="shared" si="3"/>
        <v>1.0035000000000001</v>
      </c>
      <c r="K20" s="44">
        <f t="shared" si="5"/>
        <v>0.53859999999999997</v>
      </c>
      <c r="L20" s="44">
        <f t="shared" si="5"/>
        <v>0.43690000000000001</v>
      </c>
      <c r="M20" s="44">
        <f t="shared" si="5"/>
        <v>2.4500000000000001E-2</v>
      </c>
    </row>
    <row r="21" spans="1:20">
      <c r="A21" s="72"/>
      <c r="B21" s="72"/>
      <c r="C21" s="36" t="s">
        <v>5</v>
      </c>
      <c r="D21" s="37">
        <f t="shared" si="2"/>
        <v>13.11</v>
      </c>
      <c r="E21" s="69">
        <f t="shared" si="1"/>
        <v>429.97</v>
      </c>
      <c r="F21" s="69">
        <f t="shared" si="6"/>
        <v>85.993999999999986</v>
      </c>
      <c r="H21" s="41">
        <f>+R55</f>
        <v>440.5</v>
      </c>
      <c r="I21" s="40">
        <f>+ROUND(K21*$J$5+L21*$O$5+M21*$L$5*$Q$5,4)</f>
        <v>0.97609999999999997</v>
      </c>
      <c r="K21" s="44">
        <f t="shared" si="5"/>
        <v>0.36380000000000001</v>
      </c>
      <c r="L21" s="44">
        <f t="shared" si="5"/>
        <v>0.62629999999999997</v>
      </c>
      <c r="M21" s="44">
        <f t="shared" si="5"/>
        <v>9.9000000000000008E-3</v>
      </c>
    </row>
    <row r="22" spans="1:20">
      <c r="A22" s="72"/>
      <c r="B22" s="72"/>
      <c r="C22" s="36" t="s">
        <v>6</v>
      </c>
      <c r="D22" s="37">
        <f t="shared" si="2"/>
        <v>21.19</v>
      </c>
      <c r="E22" s="69">
        <f t="shared" si="1"/>
        <v>368.23</v>
      </c>
      <c r="F22" s="69">
        <f t="shared" si="6"/>
        <v>73.645999999999987</v>
      </c>
      <c r="H22" s="41">
        <f>+S55</f>
        <v>377.25</v>
      </c>
      <c r="I22" s="40">
        <f>+ROUND(K22*$J$5+L22*$O$5+M22*$L$5*$Q$5,4)</f>
        <v>0.97609999999999997</v>
      </c>
      <c r="K22" s="44">
        <f t="shared" si="5"/>
        <v>0.36380000000000001</v>
      </c>
      <c r="L22" s="44">
        <f t="shared" si="5"/>
        <v>0.62629999999999997</v>
      </c>
      <c r="M22" s="44">
        <f t="shared" si="5"/>
        <v>9.9000000000000008E-3</v>
      </c>
      <c r="O22" s="13"/>
      <c r="P22" s="83" t="s">
        <v>19</v>
      </c>
      <c r="Q22" s="84"/>
      <c r="R22" s="84"/>
      <c r="S22" s="85"/>
      <c r="T22" s="18"/>
    </row>
    <row r="23" spans="1:20">
      <c r="A23" s="72"/>
      <c r="B23" s="73"/>
      <c r="C23" s="36" t="s">
        <v>7</v>
      </c>
      <c r="D23" s="37">
        <f t="shared" si="2"/>
        <v>29.65</v>
      </c>
      <c r="E23" s="69">
        <f t="shared" si="1"/>
        <v>333.16</v>
      </c>
      <c r="F23" s="69">
        <f t="shared" si="6"/>
        <v>66.631999999999991</v>
      </c>
      <c r="H23" s="41">
        <f>+T55</f>
        <v>341.32</v>
      </c>
      <c r="I23" s="40">
        <f>+ROUND(K23*$J$5+L23*$O$5+M23*$L$5*$Q$5,4)</f>
        <v>0.97609999999999997</v>
      </c>
      <c r="K23" s="44">
        <f t="shared" si="5"/>
        <v>0.36380000000000001</v>
      </c>
      <c r="L23" s="44">
        <f t="shared" si="5"/>
        <v>0.62629999999999997</v>
      </c>
      <c r="M23" s="44">
        <f t="shared" si="5"/>
        <v>9.9000000000000008E-3</v>
      </c>
      <c r="O23" s="19" t="s">
        <v>12</v>
      </c>
      <c r="P23" s="17" t="s">
        <v>20</v>
      </c>
      <c r="Q23" s="12" t="s">
        <v>21</v>
      </c>
      <c r="R23" s="12" t="s">
        <v>22</v>
      </c>
      <c r="S23" s="16" t="s">
        <v>23</v>
      </c>
      <c r="T23" s="19" t="s">
        <v>16</v>
      </c>
    </row>
    <row r="24" spans="1:20">
      <c r="A24" s="72"/>
      <c r="B24" s="71" t="s">
        <v>9</v>
      </c>
      <c r="C24" s="36" t="s">
        <v>3</v>
      </c>
      <c r="D24" s="37">
        <f t="shared" si="2"/>
        <v>6.07</v>
      </c>
      <c r="E24" s="69">
        <f t="shared" si="1"/>
        <v>637.30999999999995</v>
      </c>
      <c r="F24" s="69">
        <f t="shared" si="6"/>
        <v>127.46199999999996</v>
      </c>
      <c r="H24" s="38">
        <f>+P56</f>
        <v>635.09</v>
      </c>
      <c r="I24" s="40">
        <f t="shared" si="3"/>
        <v>1.0035000000000001</v>
      </c>
      <c r="K24" s="44">
        <f t="shared" si="5"/>
        <v>0.53859999999999997</v>
      </c>
      <c r="L24" s="44">
        <f t="shared" si="5"/>
        <v>0.43690000000000001</v>
      </c>
      <c r="M24" s="44">
        <f t="shared" si="5"/>
        <v>2.4500000000000001E-2</v>
      </c>
      <c r="O24" s="20"/>
      <c r="P24" s="12" t="s">
        <v>24</v>
      </c>
      <c r="Q24" s="12" t="s">
        <v>25</v>
      </c>
      <c r="R24" s="12" t="s">
        <v>26</v>
      </c>
      <c r="S24" s="16" t="s">
        <v>27</v>
      </c>
      <c r="T24" s="21"/>
    </row>
    <row r="25" spans="1:20">
      <c r="A25" s="72"/>
      <c r="B25" s="72"/>
      <c r="C25" s="36" t="s">
        <v>4</v>
      </c>
      <c r="D25" s="37">
        <f t="shared" si="2"/>
        <v>9.66</v>
      </c>
      <c r="E25" s="69">
        <f t="shared" si="1"/>
        <v>496.55</v>
      </c>
      <c r="F25" s="69">
        <f t="shared" si="6"/>
        <v>99.309999999999974</v>
      </c>
      <c r="H25" s="38">
        <f>+Q56</f>
        <v>494.82</v>
      </c>
      <c r="I25" s="40">
        <f t="shared" si="3"/>
        <v>1.0035000000000001</v>
      </c>
      <c r="K25" s="44">
        <f t="shared" si="5"/>
        <v>0.53859999999999997</v>
      </c>
      <c r="L25" s="44">
        <f t="shared" si="5"/>
        <v>0.43690000000000001</v>
      </c>
      <c r="M25" s="44">
        <f t="shared" si="5"/>
        <v>2.4500000000000001E-2</v>
      </c>
      <c r="O25" s="22" t="s">
        <v>17</v>
      </c>
      <c r="P25" s="23">
        <v>0</v>
      </c>
      <c r="Q25" s="23">
        <v>0.67410000000000003</v>
      </c>
      <c r="R25" s="23">
        <v>0.24379999999999999</v>
      </c>
      <c r="S25" s="23">
        <v>8.2100000000000006E-2</v>
      </c>
      <c r="T25" s="23">
        <f>SUM(P25:S25)</f>
        <v>1</v>
      </c>
    </row>
    <row r="26" spans="1:20">
      <c r="A26" s="72"/>
      <c r="B26" s="72"/>
      <c r="C26" s="36" t="s">
        <v>5</v>
      </c>
      <c r="D26" s="37">
        <f t="shared" si="2"/>
        <v>13.11</v>
      </c>
      <c r="E26" s="69">
        <f t="shared" si="1"/>
        <v>480.23</v>
      </c>
      <c r="F26" s="69">
        <f t="shared" si="6"/>
        <v>96.045999999999978</v>
      </c>
      <c r="H26" s="38">
        <f>+R56</f>
        <v>491.99</v>
      </c>
      <c r="I26" s="40">
        <f>+ROUND(K26*$J$5+L26*$O$5+M26*$L$5*$Q$5,4)</f>
        <v>0.97609999999999997</v>
      </c>
      <c r="K26" s="44">
        <f t="shared" si="5"/>
        <v>0.36380000000000001</v>
      </c>
      <c r="L26" s="44">
        <f t="shared" si="5"/>
        <v>0.62629999999999997</v>
      </c>
      <c r="M26" s="44">
        <f t="shared" si="5"/>
        <v>9.9000000000000008E-3</v>
      </c>
      <c r="O26" s="14" t="s">
        <v>18</v>
      </c>
      <c r="P26" s="23">
        <v>0.1968</v>
      </c>
      <c r="Q26" s="23">
        <v>0.48680000000000001</v>
      </c>
      <c r="R26" s="23">
        <v>0.27229999999999999</v>
      </c>
      <c r="S26" s="23">
        <v>4.41E-2</v>
      </c>
      <c r="T26" s="23">
        <f>SUM(P26:S26)</f>
        <v>1</v>
      </c>
    </row>
    <row r="27" spans="1:20">
      <c r="A27" s="72"/>
      <c r="B27" s="72"/>
      <c r="C27" s="36" t="s">
        <v>6</v>
      </c>
      <c r="D27" s="37">
        <f t="shared" si="2"/>
        <v>21.19</v>
      </c>
      <c r="E27" s="69">
        <f t="shared" si="1"/>
        <v>413.89</v>
      </c>
      <c r="F27" s="69">
        <f t="shared" si="6"/>
        <v>82.777999999999977</v>
      </c>
      <c r="H27" s="38">
        <f>+S56</f>
        <v>424.02</v>
      </c>
      <c r="I27" s="40">
        <f>+ROUND(K27*$J$5+L27*$O$5+M27*$L$5*$Q$5,4)</f>
        <v>0.97609999999999997</v>
      </c>
      <c r="K27" s="44">
        <f t="shared" si="5"/>
        <v>0.36380000000000001</v>
      </c>
      <c r="L27" s="44">
        <f t="shared" si="5"/>
        <v>0.62629999999999997</v>
      </c>
      <c r="M27" s="44">
        <f t="shared" si="5"/>
        <v>9.9000000000000008E-3</v>
      </c>
      <c r="O27" s="13"/>
      <c r="P27" s="13"/>
      <c r="Q27" s="13"/>
      <c r="R27" s="13"/>
      <c r="S27" s="13"/>
      <c r="T27" s="13"/>
    </row>
    <row r="28" spans="1:20">
      <c r="A28" s="73"/>
      <c r="B28" s="73"/>
      <c r="C28" s="36" t="s">
        <v>7</v>
      </c>
      <c r="D28" s="37">
        <f t="shared" si="2"/>
        <v>29.65</v>
      </c>
      <c r="E28" s="69">
        <f t="shared" si="1"/>
        <v>375.86</v>
      </c>
      <c r="F28" s="69">
        <f t="shared" si="6"/>
        <v>75.171999999999983</v>
      </c>
      <c r="H28" s="38">
        <f>+T56</f>
        <v>385.06</v>
      </c>
      <c r="I28" s="40">
        <f>+ROUND(K28*$J$5+L28*$O$5+M28*$L$5*$Q$5,4)</f>
        <v>0.97609999999999997</v>
      </c>
      <c r="K28" s="44">
        <f t="shared" si="5"/>
        <v>0.36380000000000001</v>
      </c>
      <c r="L28" s="44">
        <f t="shared" si="5"/>
        <v>0.62629999999999997</v>
      </c>
      <c r="M28" s="44">
        <f t="shared" si="5"/>
        <v>9.9000000000000008E-3</v>
      </c>
      <c r="O28" s="13"/>
      <c r="P28" s="12" t="s">
        <v>20</v>
      </c>
      <c r="Q28" s="12" t="s">
        <v>21</v>
      </c>
      <c r="R28" s="12" t="s">
        <v>22</v>
      </c>
      <c r="S28" s="12" t="s">
        <v>23</v>
      </c>
      <c r="T28" s="13"/>
    </row>
    <row r="29" spans="1:20">
      <c r="A29" s="72" t="s">
        <v>46</v>
      </c>
      <c r="B29" s="72" t="s">
        <v>47</v>
      </c>
      <c r="C29" s="35" t="s">
        <v>3</v>
      </c>
      <c r="D29" s="38">
        <f>+PliegoRural!P65</f>
        <v>7.32</v>
      </c>
      <c r="E29" s="69">
        <f t="shared" ref="E29:E48" si="7">+ROUND(H29*I29,2)</f>
        <v>624.04</v>
      </c>
      <c r="F29" s="69">
        <f t="shared" si="6"/>
        <v>124.80799999999996</v>
      </c>
      <c r="H29" s="41">
        <f>+P42</f>
        <v>621.86</v>
      </c>
      <c r="I29" s="40">
        <f t="shared" si="3"/>
        <v>1.0035000000000001</v>
      </c>
      <c r="K29" s="44">
        <f t="shared" si="5"/>
        <v>0.53859999999999997</v>
      </c>
      <c r="L29" s="44">
        <f t="shared" si="5"/>
        <v>0.43690000000000001</v>
      </c>
      <c r="M29" s="44">
        <f t="shared" si="5"/>
        <v>2.4500000000000001E-2</v>
      </c>
      <c r="O29" s="46" t="s">
        <v>61</v>
      </c>
      <c r="P29" s="24">
        <v>0</v>
      </c>
      <c r="Q29" s="24">
        <v>0.09</v>
      </c>
      <c r="R29" s="24">
        <v>0</v>
      </c>
      <c r="S29" s="24">
        <v>0</v>
      </c>
      <c r="T29" s="13"/>
    </row>
    <row r="30" spans="1:20">
      <c r="A30" s="72"/>
      <c r="B30" s="72"/>
      <c r="C30" s="36" t="s">
        <v>4</v>
      </c>
      <c r="D30" s="38">
        <f>+PliegoRural!Q65</f>
        <v>11.75</v>
      </c>
      <c r="E30" s="69">
        <f t="shared" si="7"/>
        <v>475.96</v>
      </c>
      <c r="F30" s="69">
        <f t="shared" si="6"/>
        <v>95.191999999999979</v>
      </c>
      <c r="H30" s="38">
        <f>+Q42</f>
        <v>474.3</v>
      </c>
      <c r="I30" s="40">
        <f t="shared" si="3"/>
        <v>1.0035000000000001</v>
      </c>
      <c r="K30" s="44">
        <f t="shared" si="5"/>
        <v>0.53859999999999997</v>
      </c>
      <c r="L30" s="44">
        <f t="shared" si="5"/>
        <v>0.43690000000000001</v>
      </c>
      <c r="M30" s="44">
        <f t="shared" si="5"/>
        <v>2.4500000000000001E-2</v>
      </c>
      <c r="O30" s="46" t="s">
        <v>62</v>
      </c>
      <c r="P30" s="56">
        <v>0</v>
      </c>
      <c r="Q30" s="56">
        <v>0.06</v>
      </c>
      <c r="R30" s="56">
        <v>0</v>
      </c>
      <c r="S30" s="56">
        <v>0</v>
      </c>
      <c r="T30" s="13"/>
    </row>
    <row r="31" spans="1:20">
      <c r="A31" s="72"/>
      <c r="B31" s="72"/>
      <c r="C31" s="36" t="s">
        <v>5</v>
      </c>
      <c r="D31" s="38">
        <f>+PliegoRural!R65</f>
        <v>16.73</v>
      </c>
      <c r="E31" s="69">
        <f t="shared" si="7"/>
        <v>481.52</v>
      </c>
      <c r="F31" s="69">
        <f t="shared" si="6"/>
        <v>96.303999999999974</v>
      </c>
      <c r="H31" s="38">
        <f>+R42</f>
        <v>493.31</v>
      </c>
      <c r="I31" s="40">
        <f>+ROUND(K31*$J$5+L31*$O$5+M31*$L$5*$Q$5,4)</f>
        <v>0.97609999999999997</v>
      </c>
      <c r="K31" s="44">
        <f t="shared" si="5"/>
        <v>0.36380000000000001</v>
      </c>
      <c r="L31" s="44">
        <f t="shared" si="5"/>
        <v>0.62629999999999997</v>
      </c>
      <c r="M31" s="44">
        <f t="shared" si="5"/>
        <v>9.9000000000000008E-3</v>
      </c>
      <c r="O31" s="13"/>
      <c r="P31" s="13"/>
      <c r="Q31" s="13"/>
      <c r="R31" s="13"/>
      <c r="S31" s="13"/>
      <c r="T31" s="13"/>
    </row>
    <row r="32" spans="1:20" ht="14.25">
      <c r="A32" s="72"/>
      <c r="B32" s="72"/>
      <c r="C32" s="36" t="s">
        <v>6</v>
      </c>
      <c r="D32" s="38">
        <f>+PliegoRural!S65</f>
        <v>24.92</v>
      </c>
      <c r="E32" s="69">
        <f t="shared" si="7"/>
        <v>456.33</v>
      </c>
      <c r="F32" s="69">
        <f t="shared" si="6"/>
        <v>91.265999999999977</v>
      </c>
      <c r="H32" s="38">
        <f>+S42</f>
        <v>467.5</v>
      </c>
      <c r="I32" s="40">
        <f>+ROUND(K32*$J$5+L32*$O$5+M32*$L$5*$Q$5,4)</f>
        <v>0.97609999999999997</v>
      </c>
      <c r="K32" s="44">
        <f t="shared" si="5"/>
        <v>0.36380000000000001</v>
      </c>
      <c r="L32" s="44">
        <f t="shared" si="5"/>
        <v>0.62629999999999997</v>
      </c>
      <c r="M32" s="44">
        <f t="shared" si="5"/>
        <v>9.9000000000000008E-3</v>
      </c>
      <c r="O32" s="12" t="s">
        <v>12</v>
      </c>
      <c r="P32" s="12" t="s">
        <v>28</v>
      </c>
      <c r="Q32" s="12" t="s">
        <v>60</v>
      </c>
      <c r="R32" s="13"/>
      <c r="S32" s="13"/>
      <c r="T32" s="13"/>
    </row>
    <row r="33" spans="1:20">
      <c r="A33" s="72"/>
      <c r="B33" s="73"/>
      <c r="C33" s="36" t="s">
        <v>7</v>
      </c>
      <c r="D33" s="38">
        <f>+PliegoRural!T65</f>
        <v>33.14</v>
      </c>
      <c r="E33" s="69">
        <f t="shared" si="7"/>
        <v>441.1</v>
      </c>
      <c r="F33" s="70">
        <f>+E33-18.75*E33/D33*MEM_DM</f>
        <v>121.65522027761017</v>
      </c>
      <c r="H33" s="38">
        <f>+T42</f>
        <v>451.9</v>
      </c>
      <c r="I33" s="40">
        <f>+ROUND(K33*$J$5+L33*$O$5+M33*$L$5*$Q$5,4)</f>
        <v>0.97609999999999997</v>
      </c>
      <c r="K33" s="44">
        <f t="shared" si="5"/>
        <v>0.36380000000000001</v>
      </c>
      <c r="L33" s="44">
        <f t="shared" si="5"/>
        <v>0.62629999999999997</v>
      </c>
      <c r="M33" s="44">
        <f t="shared" si="5"/>
        <v>9.9000000000000008E-3</v>
      </c>
      <c r="O33" s="14" t="s">
        <v>17</v>
      </c>
      <c r="P33" s="23">
        <f>ROUND(SUMPRODUCT(P25:S25,P29:S29),4)</f>
        <v>6.0699999999999997E-2</v>
      </c>
      <c r="Q33" s="23">
        <f>ROUND(SUMPRODUCT(P25:S25,P30:S30),4)</f>
        <v>4.0399999999999998E-2</v>
      </c>
      <c r="R33" s="13"/>
      <c r="S33" s="13"/>
      <c r="T33" s="13"/>
    </row>
    <row r="34" spans="1:20">
      <c r="A34" s="72"/>
      <c r="B34" s="71" t="s">
        <v>31</v>
      </c>
      <c r="C34" s="36" t="s">
        <v>3</v>
      </c>
      <c r="D34" s="38">
        <f>+PliegoRural!P66</f>
        <v>7.24</v>
      </c>
      <c r="E34" s="69">
        <f t="shared" si="7"/>
        <v>642.71</v>
      </c>
      <c r="F34" s="69">
        <f>+E34*(1-0.625*MEM_DM)</f>
        <v>128.54199999999997</v>
      </c>
      <c r="H34" s="41">
        <f>+P43</f>
        <v>640.47</v>
      </c>
      <c r="I34" s="40">
        <f t="shared" si="3"/>
        <v>1.0035000000000001</v>
      </c>
      <c r="K34" s="44">
        <f t="shared" si="5"/>
        <v>0.53859999999999997</v>
      </c>
      <c r="L34" s="44">
        <f t="shared" si="5"/>
        <v>0.43690000000000001</v>
      </c>
      <c r="M34" s="44">
        <f t="shared" si="5"/>
        <v>2.4500000000000001E-2</v>
      </c>
      <c r="O34" s="14" t="s">
        <v>18</v>
      </c>
      <c r="P34" s="23">
        <f>ROUND(SUMPRODUCT(P26:S26,P29:S29),4)</f>
        <v>4.3799999999999999E-2</v>
      </c>
      <c r="Q34" s="23">
        <f>ROUND(SUMPRODUCT(P26:S26,P30:S30),4)</f>
        <v>2.92E-2</v>
      </c>
      <c r="R34" s="13"/>
      <c r="S34" s="13"/>
      <c r="T34" s="13"/>
    </row>
    <row r="35" spans="1:20">
      <c r="A35" s="72"/>
      <c r="B35" s="72"/>
      <c r="C35" s="36" t="s">
        <v>4</v>
      </c>
      <c r="D35" s="38">
        <f>+PliegoRural!Q66</f>
        <v>11.54</v>
      </c>
      <c r="E35" s="69">
        <f t="shared" si="7"/>
        <v>492.36</v>
      </c>
      <c r="F35" s="69">
        <f>+E35*(1-0.625*MEM_DM)</f>
        <v>98.47199999999998</v>
      </c>
      <c r="H35" s="38">
        <f>+Q43</f>
        <v>490.64</v>
      </c>
      <c r="I35" s="40">
        <f t="shared" si="3"/>
        <v>1.0035000000000001</v>
      </c>
      <c r="K35" s="44">
        <f t="shared" si="5"/>
        <v>0.53859999999999997</v>
      </c>
      <c r="L35" s="44">
        <f t="shared" si="5"/>
        <v>0.43690000000000001</v>
      </c>
      <c r="M35" s="44">
        <f t="shared" si="5"/>
        <v>2.4500000000000001E-2</v>
      </c>
      <c r="O35" s="13"/>
      <c r="P35" s="13"/>
      <c r="Q35" s="13"/>
      <c r="R35" s="13"/>
      <c r="S35" s="13"/>
      <c r="T35" s="13"/>
    </row>
    <row r="36" spans="1:20">
      <c r="A36" s="72"/>
      <c r="B36" s="72"/>
      <c r="C36" s="36" t="s">
        <v>5</v>
      </c>
      <c r="D36" s="38">
        <f>+PliegoRural!R66</f>
        <v>16.510000000000002</v>
      </c>
      <c r="E36" s="69">
        <f t="shared" si="7"/>
        <v>493.19</v>
      </c>
      <c r="F36" s="69">
        <f>+E36*(1-0.625*MEM_DM)</f>
        <v>98.637999999999977</v>
      </c>
      <c r="H36" s="38">
        <f>+R43</f>
        <v>505.27</v>
      </c>
      <c r="I36" s="40">
        <f>+ROUND(K36*$J$5+L36*$O$5+M36*$L$5*$Q$5,4)</f>
        <v>0.97609999999999997</v>
      </c>
      <c r="K36" s="44">
        <f t="shared" si="5"/>
        <v>0.36380000000000001</v>
      </c>
      <c r="L36" s="44">
        <f t="shared" si="5"/>
        <v>0.62629999999999997</v>
      </c>
      <c r="M36" s="44">
        <f t="shared" si="5"/>
        <v>9.9000000000000008E-3</v>
      </c>
    </row>
    <row r="37" spans="1:20">
      <c r="A37" s="72"/>
      <c r="B37" s="72"/>
      <c r="C37" s="36" t="s">
        <v>6</v>
      </c>
      <c r="D37" s="38">
        <f>+PliegoRural!S66</f>
        <v>24.51</v>
      </c>
      <c r="E37" s="69">
        <f t="shared" si="7"/>
        <v>468.5</v>
      </c>
      <c r="F37" s="69">
        <f>+E37*(1-0.625*MEM_DM)</f>
        <v>93.699999999999974</v>
      </c>
      <c r="H37" s="38">
        <f>+S43</f>
        <v>479.97</v>
      </c>
      <c r="I37" s="40">
        <f>+ROUND(K37*$J$5+L37*$O$5+M37*$L$5*$Q$5,4)</f>
        <v>0.97609999999999997</v>
      </c>
      <c r="K37" s="44">
        <f t="shared" si="5"/>
        <v>0.36380000000000001</v>
      </c>
      <c r="L37" s="44">
        <f t="shared" si="5"/>
        <v>0.62629999999999997</v>
      </c>
      <c r="M37" s="44">
        <f t="shared" si="5"/>
        <v>9.9000000000000008E-3</v>
      </c>
      <c r="O37" s="53" t="s">
        <v>0</v>
      </c>
      <c r="P37" s="1"/>
      <c r="Q37" s="1"/>
      <c r="R37" s="1"/>
      <c r="S37" s="1"/>
      <c r="T37" s="1"/>
    </row>
    <row r="38" spans="1:20">
      <c r="A38" s="72"/>
      <c r="B38" s="73"/>
      <c r="C38" s="36" t="s">
        <v>7</v>
      </c>
      <c r="D38" s="38">
        <f>+PliegoRural!T66</f>
        <v>32.81</v>
      </c>
      <c r="E38" s="69">
        <f t="shared" si="7"/>
        <v>449.16</v>
      </c>
      <c r="F38" s="70">
        <f>+E38-18.75*E38/D38*MEM_DM</f>
        <v>120.60651021030179</v>
      </c>
      <c r="H38" s="38">
        <f>+T43</f>
        <v>460.16</v>
      </c>
      <c r="I38" s="40">
        <f>+ROUND(K38*$J$5+L38*$O$5+M38*$L$5*$Q$5,4)</f>
        <v>0.97609999999999997</v>
      </c>
      <c r="K38" s="44">
        <f t="shared" si="5"/>
        <v>0.36380000000000001</v>
      </c>
      <c r="L38" s="44">
        <f t="shared" si="5"/>
        <v>0.62629999999999997</v>
      </c>
      <c r="M38" s="44">
        <f t="shared" si="5"/>
        <v>9.9000000000000008E-3</v>
      </c>
      <c r="O38" s="53" t="s">
        <v>29</v>
      </c>
      <c r="P38" s="1"/>
      <c r="Q38" s="1"/>
      <c r="R38" s="1"/>
      <c r="S38" s="1"/>
      <c r="T38" s="1"/>
    </row>
    <row r="39" spans="1:20">
      <c r="A39" s="72"/>
      <c r="B39" s="71" t="s">
        <v>48</v>
      </c>
      <c r="C39" s="36" t="s">
        <v>3</v>
      </c>
      <c r="D39" s="38">
        <f>+PliegoRural!P67</f>
        <v>6.07</v>
      </c>
      <c r="E39" s="69">
        <f t="shared" si="7"/>
        <v>844.29</v>
      </c>
      <c r="F39" s="69">
        <f t="shared" ref="F39:F48" si="8">+E39*(1-0.625*MEM_DM)</f>
        <v>168.85799999999995</v>
      </c>
      <c r="H39" s="41">
        <f>+P44</f>
        <v>841.35</v>
      </c>
      <c r="I39" s="40">
        <f t="shared" si="3"/>
        <v>1.0035000000000001</v>
      </c>
      <c r="K39" s="44">
        <f t="shared" si="5"/>
        <v>0.53859999999999997</v>
      </c>
      <c r="L39" s="44">
        <f t="shared" si="5"/>
        <v>0.43690000000000001</v>
      </c>
      <c r="M39" s="44">
        <f t="shared" si="5"/>
        <v>2.4500000000000001E-2</v>
      </c>
      <c r="O39" s="1"/>
      <c r="P39" s="1"/>
      <c r="Q39" s="1"/>
      <c r="R39" s="1"/>
      <c r="S39" s="1"/>
      <c r="T39" s="1"/>
    </row>
    <row r="40" spans="1:20">
      <c r="A40" s="72"/>
      <c r="B40" s="72"/>
      <c r="C40" s="36" t="s">
        <v>4</v>
      </c>
      <c r="D40" s="38">
        <f>+PliegoRural!Q67</f>
        <v>9.66</v>
      </c>
      <c r="E40" s="69">
        <f t="shared" si="7"/>
        <v>655.5</v>
      </c>
      <c r="F40" s="69">
        <f t="shared" si="8"/>
        <v>131.09999999999997</v>
      </c>
      <c r="H40" s="38">
        <f>+Q44</f>
        <v>653.21</v>
      </c>
      <c r="I40" s="40">
        <f t="shared" si="3"/>
        <v>1.0035000000000001</v>
      </c>
      <c r="K40" s="44">
        <f t="shared" si="5"/>
        <v>0.53859999999999997</v>
      </c>
      <c r="L40" s="44">
        <f t="shared" si="5"/>
        <v>0.43690000000000001</v>
      </c>
      <c r="M40" s="44">
        <f t="shared" si="5"/>
        <v>2.4500000000000001E-2</v>
      </c>
      <c r="O40" s="3" t="s">
        <v>1</v>
      </c>
      <c r="P40" s="75" t="s">
        <v>2</v>
      </c>
      <c r="Q40" s="75"/>
      <c r="R40" s="75"/>
      <c r="S40" s="75"/>
      <c r="T40" s="76"/>
    </row>
    <row r="41" spans="1:20">
      <c r="A41" s="72"/>
      <c r="B41" s="72"/>
      <c r="C41" s="36" t="s">
        <v>5</v>
      </c>
      <c r="D41" s="38">
        <f>+PliegoRural!R67</f>
        <v>13.11</v>
      </c>
      <c r="E41" s="69">
        <f t="shared" si="7"/>
        <v>685.28</v>
      </c>
      <c r="F41" s="69">
        <f t="shared" si="8"/>
        <v>137.05599999999995</v>
      </c>
      <c r="H41" s="38">
        <f>+R44</f>
        <v>702.06</v>
      </c>
      <c r="I41" s="40">
        <f>+ROUND(K41*$J$5+L41*$O$5+M41*$L$5*$Q$5,4)</f>
        <v>0.97609999999999997</v>
      </c>
      <c r="K41" s="44">
        <f t="shared" si="5"/>
        <v>0.36380000000000001</v>
      </c>
      <c r="L41" s="44">
        <f t="shared" si="5"/>
        <v>0.62629999999999997</v>
      </c>
      <c r="M41" s="44">
        <f t="shared" si="5"/>
        <v>9.9000000000000008E-3</v>
      </c>
      <c r="O41" s="4"/>
      <c r="P41" s="5" t="s">
        <v>3</v>
      </c>
      <c r="Q41" s="6" t="s">
        <v>4</v>
      </c>
      <c r="R41" s="6" t="s">
        <v>5</v>
      </c>
      <c r="S41" s="6" t="s">
        <v>6</v>
      </c>
      <c r="T41" s="6" t="s">
        <v>7</v>
      </c>
    </row>
    <row r="42" spans="1:20">
      <c r="A42" s="72"/>
      <c r="B42" s="72"/>
      <c r="C42" s="36" t="s">
        <v>6</v>
      </c>
      <c r="D42" s="38">
        <f>+PliegoRural!S67</f>
        <v>21.19</v>
      </c>
      <c r="E42" s="69">
        <f t="shared" si="7"/>
        <v>601.65</v>
      </c>
      <c r="F42" s="69">
        <f t="shared" si="8"/>
        <v>120.32999999999997</v>
      </c>
      <c r="H42" s="38">
        <f>+S44</f>
        <v>616.38</v>
      </c>
      <c r="I42" s="40">
        <f>+ROUND(K42*$J$5+L42*$O$5+M42*$L$5*$Q$5,4)</f>
        <v>0.97609999999999997</v>
      </c>
      <c r="K42" s="44">
        <f t="shared" si="5"/>
        <v>0.36380000000000001</v>
      </c>
      <c r="L42" s="44">
        <f t="shared" si="5"/>
        <v>0.62629999999999997</v>
      </c>
      <c r="M42" s="44">
        <f t="shared" si="5"/>
        <v>9.9000000000000008E-3</v>
      </c>
      <c r="O42" s="7" t="s">
        <v>30</v>
      </c>
      <c r="P42" s="8">
        <v>621.86</v>
      </c>
      <c r="Q42" s="8">
        <v>474.3</v>
      </c>
      <c r="R42" s="8">
        <v>493.31</v>
      </c>
      <c r="S42" s="8">
        <v>467.5</v>
      </c>
      <c r="T42" s="8">
        <v>451.9</v>
      </c>
    </row>
    <row r="43" spans="1:20">
      <c r="A43" s="72"/>
      <c r="B43" s="73"/>
      <c r="C43" s="36" t="s">
        <v>7</v>
      </c>
      <c r="D43" s="38">
        <f>+PliegoRural!T67</f>
        <v>29.65</v>
      </c>
      <c r="E43" s="69">
        <f>+ROUND(H43*I43,2)</f>
        <v>551.46</v>
      </c>
      <c r="F43" s="69">
        <f t="shared" si="8"/>
        <v>110.29199999999999</v>
      </c>
      <c r="H43" s="38">
        <f>+T44</f>
        <v>564.96</v>
      </c>
      <c r="I43" s="40">
        <f>+ROUND(K43*$J$5+L43*$O$5+M43*$L$5*$Q$5,4)</f>
        <v>0.97609999999999997</v>
      </c>
      <c r="K43" s="44">
        <f t="shared" si="5"/>
        <v>0.36380000000000001</v>
      </c>
      <c r="L43" s="44">
        <f t="shared" si="5"/>
        <v>0.62629999999999997</v>
      </c>
      <c r="M43" s="44">
        <f t="shared" si="5"/>
        <v>9.9000000000000008E-3</v>
      </c>
      <c r="O43" s="7" t="s">
        <v>31</v>
      </c>
      <c r="P43" s="8">
        <v>640.47</v>
      </c>
      <c r="Q43" s="8">
        <v>490.64</v>
      </c>
      <c r="R43" s="8">
        <v>505.27</v>
      </c>
      <c r="S43" s="8">
        <v>479.97</v>
      </c>
      <c r="T43" s="8">
        <v>460.16</v>
      </c>
    </row>
    <row r="44" spans="1:20">
      <c r="A44" s="72"/>
      <c r="B44" s="71" t="s">
        <v>9</v>
      </c>
      <c r="C44" s="36" t="s">
        <v>3</v>
      </c>
      <c r="D44" s="37">
        <f>+D39</f>
        <v>6.07</v>
      </c>
      <c r="E44" s="69">
        <f t="shared" si="7"/>
        <v>932.25</v>
      </c>
      <c r="F44" s="69">
        <f t="shared" si="8"/>
        <v>186.44999999999996</v>
      </c>
      <c r="H44" s="41">
        <f>+P45</f>
        <v>929</v>
      </c>
      <c r="I44" s="40">
        <f t="shared" si="3"/>
        <v>1.0035000000000001</v>
      </c>
      <c r="K44" s="44">
        <f t="shared" si="5"/>
        <v>0.53859999999999997</v>
      </c>
      <c r="L44" s="44">
        <f t="shared" si="5"/>
        <v>0.43690000000000001</v>
      </c>
      <c r="M44" s="44">
        <f t="shared" si="5"/>
        <v>2.4500000000000001E-2</v>
      </c>
      <c r="O44" s="7" t="s">
        <v>8</v>
      </c>
      <c r="P44" s="8">
        <v>841.35</v>
      </c>
      <c r="Q44" s="8">
        <v>653.21</v>
      </c>
      <c r="R44" s="8">
        <v>702.06</v>
      </c>
      <c r="S44" s="8">
        <v>616.38</v>
      </c>
      <c r="T44" s="8">
        <v>564.96</v>
      </c>
    </row>
    <row r="45" spans="1:20">
      <c r="A45" s="72"/>
      <c r="B45" s="72"/>
      <c r="C45" s="36" t="s">
        <v>4</v>
      </c>
      <c r="D45" s="37">
        <f>+D40</f>
        <v>9.66</v>
      </c>
      <c r="E45" s="69">
        <f t="shared" si="7"/>
        <v>729.35</v>
      </c>
      <c r="F45" s="69">
        <f t="shared" si="8"/>
        <v>145.86999999999998</v>
      </c>
      <c r="H45" s="38">
        <f>+Q45</f>
        <v>726.81</v>
      </c>
      <c r="I45" s="40">
        <f t="shared" si="3"/>
        <v>1.0035000000000001</v>
      </c>
      <c r="K45" s="44">
        <f t="shared" si="5"/>
        <v>0.53859999999999997</v>
      </c>
      <c r="L45" s="44">
        <f t="shared" si="5"/>
        <v>0.43690000000000001</v>
      </c>
      <c r="M45" s="44">
        <f t="shared" si="5"/>
        <v>2.4500000000000001E-2</v>
      </c>
      <c r="O45" s="7" t="s">
        <v>9</v>
      </c>
      <c r="P45" s="60">
        <v>929</v>
      </c>
      <c r="Q45" s="60">
        <v>726.81</v>
      </c>
      <c r="R45" s="60">
        <v>787.57</v>
      </c>
      <c r="S45" s="60">
        <v>694.38</v>
      </c>
      <c r="T45" s="60">
        <v>638.17999999999995</v>
      </c>
    </row>
    <row r="46" spans="1:20">
      <c r="A46" s="72"/>
      <c r="B46" s="72"/>
      <c r="C46" s="36" t="s">
        <v>5</v>
      </c>
      <c r="D46" s="37">
        <f>+D41</f>
        <v>13.11</v>
      </c>
      <c r="E46" s="69">
        <f t="shared" si="7"/>
        <v>768.75</v>
      </c>
      <c r="F46" s="69">
        <f>+E46*(1-0.625*MEM_DM)</f>
        <v>153.74999999999997</v>
      </c>
      <c r="H46" s="38">
        <f>+R45</f>
        <v>787.57</v>
      </c>
      <c r="I46" s="40">
        <f>+ROUND(K46*$J$5+L46*$O$5+M46*$L$5*$Q$5,4)</f>
        <v>0.97609999999999997</v>
      </c>
      <c r="K46" s="44">
        <f t="shared" si="5"/>
        <v>0.36380000000000001</v>
      </c>
      <c r="L46" s="44">
        <f t="shared" si="5"/>
        <v>0.62629999999999997</v>
      </c>
      <c r="M46" s="44">
        <f t="shared" si="5"/>
        <v>9.9000000000000008E-3</v>
      </c>
      <c r="O46" s="9" t="s">
        <v>10</v>
      </c>
      <c r="P46" s="1"/>
      <c r="Q46" s="1"/>
      <c r="R46" s="1"/>
      <c r="S46" s="1"/>
      <c r="T46" s="1"/>
    </row>
    <row r="47" spans="1:20">
      <c r="A47" s="72"/>
      <c r="B47" s="72"/>
      <c r="C47" s="36" t="s">
        <v>6</v>
      </c>
      <c r="D47" s="37">
        <f>+D42</f>
        <v>21.19</v>
      </c>
      <c r="E47" s="69">
        <f t="shared" si="7"/>
        <v>677.78</v>
      </c>
      <c r="F47" s="69">
        <f t="shared" si="8"/>
        <v>135.55599999999995</v>
      </c>
      <c r="H47" s="38">
        <f>+S45</f>
        <v>694.38</v>
      </c>
      <c r="I47" s="40">
        <f>+ROUND(K47*$J$5+L47*$O$5+M47*$L$5*$Q$5,4)</f>
        <v>0.97609999999999997</v>
      </c>
      <c r="K47" s="44">
        <f t="shared" si="5"/>
        <v>0.36380000000000001</v>
      </c>
      <c r="L47" s="44">
        <f t="shared" si="5"/>
        <v>0.62629999999999997</v>
      </c>
      <c r="M47" s="44">
        <f t="shared" si="5"/>
        <v>9.9000000000000008E-3</v>
      </c>
      <c r="O47" s="10"/>
      <c r="P47" s="11"/>
      <c r="Q47" s="11"/>
      <c r="R47" s="11"/>
      <c r="S47" s="11"/>
      <c r="T47" s="11"/>
    </row>
    <row r="48" spans="1:20">
      <c r="A48" s="73"/>
      <c r="B48" s="73"/>
      <c r="C48" s="36" t="s">
        <v>7</v>
      </c>
      <c r="D48" s="37">
        <f>+D43</f>
        <v>29.65</v>
      </c>
      <c r="E48" s="69">
        <f t="shared" si="7"/>
        <v>622.92999999999995</v>
      </c>
      <c r="F48" s="69">
        <f t="shared" si="8"/>
        <v>124.58599999999996</v>
      </c>
      <c r="H48" s="38">
        <f>+T45</f>
        <v>638.17999999999995</v>
      </c>
      <c r="I48" s="40">
        <f>+ROUND(K48*$J$5+L48*$O$5+M48*$L$5*$Q$5,4)</f>
        <v>0.97609999999999997</v>
      </c>
      <c r="K48" s="44">
        <f t="shared" si="5"/>
        <v>0.36380000000000001</v>
      </c>
      <c r="L48" s="44">
        <f t="shared" si="5"/>
        <v>0.62629999999999997</v>
      </c>
      <c r="M48" s="44">
        <f t="shared" si="5"/>
        <v>9.9000000000000008E-3</v>
      </c>
      <c r="O48" s="53" t="s">
        <v>11</v>
      </c>
      <c r="P48" s="1"/>
      <c r="Q48" s="1"/>
      <c r="R48" s="1"/>
      <c r="S48" s="1"/>
      <c r="T48" s="1"/>
    </row>
    <row r="49" spans="1:20">
      <c r="A49" s="28" t="s">
        <v>57</v>
      </c>
      <c r="O49" s="53" t="s">
        <v>29</v>
      </c>
      <c r="P49" s="1"/>
      <c r="Q49" s="1"/>
      <c r="R49" s="1"/>
      <c r="S49" s="1"/>
      <c r="T49" s="1"/>
    </row>
    <row r="50" spans="1:20">
      <c r="O50" s="1"/>
      <c r="P50" s="1"/>
      <c r="Q50" s="1"/>
      <c r="R50" s="1"/>
      <c r="S50" s="1"/>
      <c r="T50" s="1"/>
    </row>
    <row r="51" spans="1:20" ht="15.75">
      <c r="A51" s="29" t="s">
        <v>36</v>
      </c>
      <c r="O51" s="3" t="s">
        <v>1</v>
      </c>
      <c r="P51" s="74" t="s">
        <v>2</v>
      </c>
      <c r="Q51" s="75"/>
      <c r="R51" s="75"/>
      <c r="S51" s="75"/>
      <c r="T51" s="76"/>
    </row>
    <row r="52" spans="1:20">
      <c r="A52" s="30" t="s">
        <v>39</v>
      </c>
      <c r="H52" s="53" t="s">
        <v>64</v>
      </c>
      <c r="O52" s="4"/>
      <c r="P52" s="6" t="s">
        <v>3</v>
      </c>
      <c r="Q52" s="6" t="s">
        <v>4</v>
      </c>
      <c r="R52" s="6" t="s">
        <v>5</v>
      </c>
      <c r="S52" s="6" t="s">
        <v>6</v>
      </c>
      <c r="T52" s="6" t="s">
        <v>7</v>
      </c>
    </row>
    <row r="53" spans="1:20">
      <c r="A53" s="31" t="str">
        <f>+A6</f>
        <v>Vigente a partir del 04/may/2013</v>
      </c>
      <c r="H53" s="67" t="s">
        <v>70</v>
      </c>
      <c r="O53" s="7" t="s">
        <v>30</v>
      </c>
      <c r="P53" s="8">
        <v>409.97</v>
      </c>
      <c r="Q53" s="8">
        <v>308.68</v>
      </c>
      <c r="R53" s="8">
        <v>291.81</v>
      </c>
      <c r="S53" s="8">
        <v>268.06</v>
      </c>
      <c r="T53" s="8">
        <v>255.04</v>
      </c>
    </row>
    <row r="54" spans="1:20" ht="25.5">
      <c r="A54" s="42" t="s">
        <v>33</v>
      </c>
      <c r="B54" s="42" t="s">
        <v>30</v>
      </c>
      <c r="C54" s="42" t="s">
        <v>31</v>
      </c>
      <c r="D54" s="42" t="s">
        <v>8</v>
      </c>
      <c r="E54" s="43" t="s">
        <v>9</v>
      </c>
      <c r="H54" s="27" t="s">
        <v>33</v>
      </c>
      <c r="I54" s="27" t="s">
        <v>30</v>
      </c>
      <c r="J54" s="27" t="s">
        <v>31</v>
      </c>
      <c r="K54" s="27" t="s">
        <v>8</v>
      </c>
      <c r="L54" s="27" t="s">
        <v>9</v>
      </c>
      <c r="O54" s="7" t="s">
        <v>31</v>
      </c>
      <c r="P54" s="8">
        <v>424.72</v>
      </c>
      <c r="Q54" s="8">
        <v>320.70999999999998</v>
      </c>
      <c r="R54" s="8">
        <v>300.18</v>
      </c>
      <c r="S54" s="8">
        <v>276.13</v>
      </c>
      <c r="T54" s="8">
        <v>260.47000000000003</v>
      </c>
    </row>
    <row r="55" spans="1:20">
      <c r="A55" s="39" t="s">
        <v>34</v>
      </c>
      <c r="B55" s="68">
        <f t="shared" ref="B55:E56" si="9">+ROUND(I55*ROUND($J$5,4),2)</f>
        <v>2.36</v>
      </c>
      <c r="C55" s="68">
        <f t="shared" si="9"/>
        <v>3.7</v>
      </c>
      <c r="D55" s="68">
        <f t="shared" si="9"/>
        <v>5.66</v>
      </c>
      <c r="E55" s="68">
        <f t="shared" si="9"/>
        <v>5.66</v>
      </c>
      <c r="H55" s="39" t="s">
        <v>34</v>
      </c>
      <c r="I55" s="39">
        <v>2.19</v>
      </c>
      <c r="J55" s="39">
        <v>3.44</v>
      </c>
      <c r="K55" s="39">
        <v>5.26</v>
      </c>
      <c r="L55" s="61">
        <v>5.26</v>
      </c>
      <c r="O55" s="7" t="s">
        <v>8</v>
      </c>
      <c r="P55" s="8">
        <v>579.24</v>
      </c>
      <c r="Q55" s="8">
        <v>446.79</v>
      </c>
      <c r="R55" s="8">
        <v>440.5</v>
      </c>
      <c r="S55" s="8">
        <v>377.25</v>
      </c>
      <c r="T55" s="8">
        <v>341.32</v>
      </c>
    </row>
    <row r="56" spans="1:20">
      <c r="A56" s="39" t="s">
        <v>35</v>
      </c>
      <c r="B56" s="68">
        <f t="shared" si="9"/>
        <v>3.59</v>
      </c>
      <c r="C56" s="68">
        <f t="shared" si="9"/>
        <v>4.72</v>
      </c>
      <c r="D56" s="68">
        <f t="shared" si="9"/>
        <v>7.22</v>
      </c>
      <c r="E56" s="68">
        <f t="shared" si="9"/>
        <v>7.22</v>
      </c>
      <c r="H56" s="39" t="s">
        <v>35</v>
      </c>
      <c r="I56" s="39">
        <v>3.33</v>
      </c>
      <c r="J56" s="39">
        <v>4.38</v>
      </c>
      <c r="K56" s="39">
        <v>6.71</v>
      </c>
      <c r="L56" s="61">
        <v>6.71</v>
      </c>
      <c r="O56" s="7" t="s">
        <v>9</v>
      </c>
      <c r="P56" s="60">
        <v>635.09</v>
      </c>
      <c r="Q56" s="60">
        <v>494.82</v>
      </c>
      <c r="R56" s="60">
        <v>491.99</v>
      </c>
      <c r="S56" s="60">
        <v>424.02</v>
      </c>
      <c r="T56" s="60">
        <v>385.06</v>
      </c>
    </row>
    <row r="57" spans="1:20">
      <c r="A57" s="28" t="s">
        <v>57</v>
      </c>
      <c r="H57" s="28" t="s">
        <v>10</v>
      </c>
      <c r="O57" s="9" t="s">
        <v>10</v>
      </c>
      <c r="P57" s="1"/>
      <c r="Q57" s="1"/>
      <c r="R57" s="1"/>
      <c r="S57" s="1"/>
      <c r="T57" s="1"/>
    </row>
    <row r="58" spans="1:20">
      <c r="O58" s="1"/>
      <c r="P58" s="1"/>
      <c r="Q58" s="1"/>
      <c r="R58" s="1"/>
      <c r="S58" s="1"/>
      <c r="T58" s="1"/>
    </row>
    <row r="59" spans="1:20">
      <c r="O59" s="1"/>
      <c r="P59" s="1"/>
      <c r="Q59" s="1"/>
      <c r="R59" s="1"/>
      <c r="S59" s="1"/>
      <c r="T59" s="1"/>
    </row>
    <row r="60" spans="1:20">
      <c r="O60" s="1"/>
      <c r="P60" s="1"/>
      <c r="Q60" s="1"/>
      <c r="R60" s="1"/>
      <c r="S60" s="1"/>
      <c r="T60" s="1"/>
    </row>
    <row r="61" spans="1:20" ht="18">
      <c r="H61" s="25"/>
      <c r="I61" s="26"/>
      <c r="J61" s="26"/>
      <c r="K61" s="26"/>
      <c r="L61" s="26"/>
      <c r="O61" s="2" t="s">
        <v>37</v>
      </c>
      <c r="P61" s="1"/>
      <c r="Q61" s="1"/>
      <c r="R61" s="1"/>
      <c r="S61" s="1"/>
      <c r="T61" s="1"/>
    </row>
    <row r="62" spans="1:20" ht="15.75">
      <c r="H62" s="25"/>
      <c r="I62" s="26"/>
      <c r="J62" s="26"/>
      <c r="K62" s="26"/>
      <c r="L62" s="26"/>
      <c r="O62" s="1"/>
      <c r="P62" s="1"/>
      <c r="Q62" s="1"/>
      <c r="R62" s="1"/>
      <c r="S62" s="1"/>
      <c r="T62" s="1"/>
    </row>
    <row r="63" spans="1:20" ht="15.75">
      <c r="H63" s="25"/>
      <c r="I63" s="26"/>
      <c r="J63" s="26"/>
      <c r="K63" s="26"/>
      <c r="L63" s="26"/>
      <c r="O63" s="3" t="s">
        <v>1</v>
      </c>
      <c r="P63" s="74" t="s">
        <v>2</v>
      </c>
      <c r="Q63" s="75"/>
      <c r="R63" s="75"/>
      <c r="S63" s="75"/>
      <c r="T63" s="76"/>
    </row>
    <row r="64" spans="1:20" ht="15.75">
      <c r="H64" s="25"/>
      <c r="I64" s="26"/>
      <c r="J64" s="26"/>
      <c r="K64" s="26"/>
      <c r="L64" s="26"/>
      <c r="O64" s="4"/>
      <c r="P64" s="6" t="s">
        <v>3</v>
      </c>
      <c r="Q64" s="6" t="s">
        <v>4</v>
      </c>
      <c r="R64" s="6" t="s">
        <v>5</v>
      </c>
      <c r="S64" s="6" t="s">
        <v>6</v>
      </c>
      <c r="T64" s="6" t="s">
        <v>7</v>
      </c>
    </row>
    <row r="65" spans="8:20" ht="15.75">
      <c r="H65" s="25"/>
      <c r="I65" s="26"/>
      <c r="J65" s="26"/>
      <c r="K65" s="26"/>
      <c r="L65" s="26"/>
      <c r="O65" s="7" t="s">
        <v>30</v>
      </c>
      <c r="P65" s="8">
        <v>7.32</v>
      </c>
      <c r="Q65" s="8">
        <v>11.75</v>
      </c>
      <c r="R65" s="8">
        <v>16.73</v>
      </c>
      <c r="S65" s="8">
        <v>24.92</v>
      </c>
      <c r="T65" s="8">
        <v>33.14</v>
      </c>
    </row>
    <row r="66" spans="8:20" ht="15.75">
      <c r="H66" s="25"/>
      <c r="I66" s="26"/>
      <c r="J66" s="26"/>
      <c r="K66" s="26"/>
      <c r="L66" s="26"/>
      <c r="O66" s="7" t="s">
        <v>31</v>
      </c>
      <c r="P66" s="8">
        <v>7.24</v>
      </c>
      <c r="Q66" s="8">
        <v>11.54</v>
      </c>
      <c r="R66" s="8">
        <v>16.510000000000002</v>
      </c>
      <c r="S66" s="8">
        <v>24.51</v>
      </c>
      <c r="T66" s="8">
        <v>32.81</v>
      </c>
    </row>
    <row r="67" spans="8:20">
      <c r="O67" s="7" t="s">
        <v>32</v>
      </c>
      <c r="P67" s="8">
        <v>6.07</v>
      </c>
      <c r="Q67" s="8">
        <v>9.66</v>
      </c>
      <c r="R67" s="8">
        <v>13.11</v>
      </c>
      <c r="S67" s="8">
        <v>21.19</v>
      </c>
      <c r="T67" s="8">
        <v>29.65</v>
      </c>
    </row>
  </sheetData>
  <mergeCells count="18">
    <mergeCell ref="P63:T63"/>
    <mergeCell ref="P40:T40"/>
    <mergeCell ref="P51:T51"/>
    <mergeCell ref="Q1:R1"/>
    <mergeCell ref="E7:F7"/>
    <mergeCell ref="O1:P1"/>
    <mergeCell ref="M1:N1"/>
    <mergeCell ref="P22:S22"/>
    <mergeCell ref="A29:A48"/>
    <mergeCell ref="B29:B33"/>
    <mergeCell ref="B34:B38"/>
    <mergeCell ref="B39:B43"/>
    <mergeCell ref="B44:B48"/>
    <mergeCell ref="A9:A28"/>
    <mergeCell ref="B9:B13"/>
    <mergeCell ref="B14:B18"/>
    <mergeCell ref="B19:B23"/>
    <mergeCell ref="B24:B28"/>
  </mergeCells>
  <phoneticPr fontId="2" type="noConversion"/>
  <printOptions horizontalCentered="1" verticalCentered="1"/>
  <pageMargins left="0.78740157480314965" right="0.78740157480314965" top="0.98425196850393704" bottom="0.98425196850393704" header="0" footer="0"/>
  <pageSetup paperSize="9" scale="9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8"/>
  <sheetViews>
    <sheetView workbookViewId="0"/>
  </sheetViews>
  <sheetFormatPr baseColWidth="10" defaultRowHeight="12.75"/>
  <sheetData>
    <row r="5" spans="2:2">
      <c r="B5">
        <v>8504319000</v>
      </c>
    </row>
    <row r="6" spans="2:2">
      <c r="B6">
        <v>8507200000</v>
      </c>
    </row>
    <row r="7" spans="2:2">
      <c r="B7">
        <v>8541401000</v>
      </c>
    </row>
    <row r="8" spans="2:2">
      <c r="B8">
        <v>9032891100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H4ZUARPRAJFR-91-1309</_dlc_DocId>
    <_dlc_DocIdUrl xmlns="c9af1732-5c4a-47a8-8a40-65a3d58cbfeb">
      <Url>http://portal/seccion/centro_documental/gart/_layouts/15/DocIdRedir.aspx?ID=H4ZUARPRAJFR-91-1309</Url>
      <Description>H4ZUARPRAJFR-91-1309</Description>
    </_dlc_DocIdUrl>
    <Categoria xmlns="2c528ab9-7095-49d0-a7ff-82fe0cd557ed">3</Categoria>
    <FechaVigencia xmlns="2c528ab9-7095-49d0-a7ff-82fe0cd557ed">2013-05-04T05:00:00+00:00</FechaVigenci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AF54A0A63D6842840600891AFE3E5B" ma:contentTypeVersion="9" ma:contentTypeDescription="Crear nuevo documento." ma:contentTypeScope="" ma:versionID="ed7a7d99e12cb676d8693eeb784e4e0a">
  <xsd:schema xmlns:xsd="http://www.w3.org/2001/XMLSchema" xmlns:xs="http://www.w3.org/2001/XMLSchema" xmlns:p="http://schemas.microsoft.com/office/2006/metadata/properties" xmlns:ns2="c9af1732-5c4a-47a8-8a40-65a3d58cbfeb" xmlns:ns3="2c528ab9-7095-49d0-a7ff-82fe0cd557ed" targetNamespace="http://schemas.microsoft.com/office/2006/metadata/properties" ma:root="true" ma:fieldsID="cb9ef61cab5c4a86d7a7b36c6af63c4c" ns2:_="" ns3:_="">
    <xsd:import namespace="c9af1732-5c4a-47a8-8a40-65a3d58cbfeb"/>
    <xsd:import namespace="2c528ab9-7095-49d0-a7ff-82fe0cd557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FechaVigencia" minOccurs="0"/>
                <xsd:element ref="ns3:Catego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28ab9-7095-49d0-a7ff-82fe0cd557ed" elementFormDefault="qualified">
    <xsd:import namespace="http://schemas.microsoft.com/office/2006/documentManagement/types"/>
    <xsd:import namespace="http://schemas.microsoft.com/office/infopath/2007/PartnerControls"/>
    <xsd:element name="FechaVigencia" ma:index="11" nillable="true" ma:displayName="Fecha de Vigencia" ma:default="[today]" ma:format="DateOnly" ma:internalName="FechaVigencia">
      <xsd:simpleType>
        <xsd:restriction base="dms:DateTime"/>
      </xsd:simpleType>
    </xsd:element>
    <xsd:element name="Categoria" ma:index="12" nillable="true" ma:displayName="Categoria" ma:list="{e20db2da-d58f-4f43-afe1-65ddc9263927}" ma:internalName="Categoria" ma:readOnly="false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C5F68FF-03B8-461D-A736-0ACDA6CE1C16}"/>
</file>

<file path=customXml/itemProps2.xml><?xml version="1.0" encoding="utf-8"?>
<ds:datastoreItem xmlns:ds="http://schemas.openxmlformats.org/officeDocument/2006/customXml" ds:itemID="{F38AD0C5-BAB5-4058-B222-9341A0B9997D}"/>
</file>

<file path=customXml/itemProps3.xml><?xml version="1.0" encoding="utf-8"?>
<ds:datastoreItem xmlns:ds="http://schemas.openxmlformats.org/officeDocument/2006/customXml" ds:itemID="{39AABDAD-B3FF-4975-8BDE-3E373B4B443A}"/>
</file>

<file path=customXml/itemProps4.xml><?xml version="1.0" encoding="utf-8"?>
<ds:datastoreItem xmlns:ds="http://schemas.openxmlformats.org/officeDocument/2006/customXml" ds:itemID="{57FB9736-014E-4853-9C12-7CB75FCFAE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PliegoRural</vt:lpstr>
      <vt:lpstr>Hoja1</vt:lpstr>
      <vt:lpstr>PliegoRural!Área_de_impresión</vt:lpstr>
      <vt:lpstr>MEM_DM</vt:lpstr>
    </vt:vector>
  </TitlesOfParts>
  <Company>OSINERG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Bernabel</dc:creator>
  <cp:lastModifiedBy>Juan José Javier Jara</cp:lastModifiedBy>
  <cp:lastPrinted>2012-03-16T18:07:32Z</cp:lastPrinted>
  <dcterms:created xsi:type="dcterms:W3CDTF">2005-07-18T22:02:40Z</dcterms:created>
  <dcterms:modified xsi:type="dcterms:W3CDTF">2013-05-02T18:31:22Z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ntativeReviewCycleID">
    <vt:i4>901753632</vt:i4>
  </property>
  <property fmtid="{D5CDD505-2E9C-101B-9397-08002B2CF9AE}" pid="3" name="_ReviewCycleID">
    <vt:i4>901753632</vt:i4>
  </property>
  <property fmtid="{D5CDD505-2E9C-101B-9397-08002B2CF9AE}" pid="4" name="_NewReviewCycle">
    <vt:lpwstr/>
  </property>
  <property fmtid="{D5CDD505-2E9C-101B-9397-08002B2CF9AE}" pid="9" name="_EmailEntryID">
    <vt:lpwstr>000000004B157D37AECE5D408C034A125763F53A0700E12EE4B10B450842B43A15BA5EA84EB8000000161189000079C77FCC096AE44EB16FB4D5ACFFAED200000074217D0000</vt:lpwstr>
  </property>
  <property fmtid="{D5CDD505-2E9C-101B-9397-08002B2CF9AE}" pid="10" name="_EmailStoreID0">
    <vt:lpwstr>0000000038A1BB1005E5101AA1BB08002B2A56C20000454D534D44422E444C4C00000000000000001B55FA20AA6611CD9BC800AA002FC45A0C0000005352564D41494C3034002F6F3D4F73696E6572672F6F753D46697273742041646D696E6973747261746976652047726F75702F636E3D526563697069656E74732F636E3</vt:lpwstr>
  </property>
  <property fmtid="{D5CDD505-2E9C-101B-9397-08002B2CF9AE}" pid="11" name="_EmailStoreID1">
    <vt:lpwstr>D636265726E6162656C00</vt:lpwstr>
  </property>
  <property fmtid="{D5CDD505-2E9C-101B-9397-08002B2CF9AE}" pid="12" name="ContentTypeId">
    <vt:lpwstr>0x0101002FAF54A0A63D6842840600891AFE3E5B</vt:lpwstr>
  </property>
  <property fmtid="{D5CDD505-2E9C-101B-9397-08002B2CF9AE}" pid="13" name="_dlc_DocIdItemGuid">
    <vt:lpwstr>eaa909b4-107f-42ca-a597-7539af70b2e4</vt:lpwstr>
  </property>
  <property fmtid="{D5CDD505-2E9C-101B-9397-08002B2CF9AE}" pid="15" name="FechaVigencia">
    <vt:filetime>2015-12-17T20:46:55Z</vt:filetime>
  </property>
</Properties>
</file>