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5270" windowHeight="4635" tabRatio="703"/>
  </bookViews>
  <sheets>
    <sheet name="ResumenIndicadores" sheetId="290" r:id="rId1"/>
    <sheet name="Historico" sheetId="299" r:id="rId2"/>
    <sheet name="Factores" sheetId="280" r:id="rId3"/>
    <sheet name="ALUMINIO-COBRE-TC-IPM" sheetId="291" r:id="rId4"/>
    <sheet name="COMBUSTIBLES" sheetId="292" r:id="rId5"/>
    <sheet name="TA_VAD" sheetId="287" r:id="rId6"/>
    <sheet name="PCSPT" sheetId="297" r:id="rId7"/>
    <sheet name="CPSEE" sheetId="301" r:id="rId8"/>
    <sheet name="SST" sheetId="302" r:id="rId9"/>
    <sheet name="FEPMMT" sheetId="303" r:id="rId10"/>
    <sheet name="PBARRA" sheetId="304" r:id="rId11"/>
    <sheet name="PNG" sheetId="300" r:id="rId12"/>
  </sheets>
  <definedNames>
    <definedName name="_xlnm._FilterDatabase" localSheetId="2" hidden="1">Factores!#REF!</definedName>
    <definedName name="_xlnm._FilterDatabase" localSheetId="1" hidden="1">Historico!#REF!</definedName>
    <definedName name="_xlnm.Print_Area" localSheetId="3">'ALUMINIO-COBRE-TC-IPM'!$A$1:$L$190</definedName>
    <definedName name="_xlnm.Print_Area" localSheetId="4">COMBUSTIBLES!$A$1:$L$391</definedName>
    <definedName name="_xlnm.Print_Area" localSheetId="7">CPSEE!$A$1:$E$37</definedName>
    <definedName name="_xlnm.Print_Area" localSheetId="2">Factores!$A$1:$F$147</definedName>
    <definedName name="_xlnm.Print_Area" localSheetId="9">FEPMMT!$A$1:$G$44</definedName>
    <definedName name="_xlnm.Print_Area" localSheetId="1">Historico!$A$1:$O$148</definedName>
    <definedName name="_xlnm.Print_Area" localSheetId="10">PBARRA!$A$1:$K$142</definedName>
    <definedName name="_xlnm.Print_Area" localSheetId="6">PCSPT!$A$1:$E$62</definedName>
    <definedName name="_xlnm.Print_Area" localSheetId="11">PNG!$A$1:$K$105</definedName>
    <definedName name="_xlnm.Print_Area" localSheetId="0">ResumenIndicadores!$A$1:$J$182</definedName>
    <definedName name="_xlnm.Print_Area" localSheetId="8">SST!$A$1:$G$101</definedName>
    <definedName name="_xlnm.Print_Area" localSheetId="5">TA_VAD!$A$1:$L$115</definedName>
    <definedName name="Otro" localSheetId="3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Otro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otro2" localSheetId="3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otro2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wrn.Todo." localSheetId="3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wrn.Todo.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y" localSheetId="3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y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yy" localSheetId="3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yy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</definedNames>
  <calcPr calcId="145621"/>
</workbook>
</file>

<file path=xl/calcChain.xml><?xml version="1.0" encoding="utf-8"?>
<calcChain xmlns="http://schemas.openxmlformats.org/spreadsheetml/2006/main">
  <c r="F23" i="280" l="1"/>
  <c r="A6" i="280" l="1"/>
  <c r="A7" i="280"/>
  <c r="A8" i="280"/>
  <c r="A9" i="280"/>
  <c r="A10" i="280"/>
  <c r="A11" i="280"/>
  <c r="A12" i="280"/>
  <c r="A13" i="280"/>
  <c r="A14" i="280"/>
  <c r="A15" i="280"/>
  <c r="A16" i="280"/>
  <c r="A17" i="280"/>
  <c r="A18" i="280"/>
  <c r="A19" i="280"/>
  <c r="A20" i="280"/>
  <c r="A21" i="280"/>
  <c r="A22" i="280"/>
  <c r="A23" i="280"/>
  <c r="A24" i="280"/>
  <c r="A25" i="280"/>
  <c r="A26" i="280"/>
  <c r="A27" i="280"/>
  <c r="A28" i="280"/>
  <c r="A29" i="280"/>
  <c r="A30" i="280"/>
  <c r="A31" i="280"/>
  <c r="A32" i="280"/>
  <c r="A33" i="280"/>
  <c r="A34" i="280"/>
  <c r="A35" i="280"/>
  <c r="A36" i="280"/>
  <c r="A37" i="280"/>
  <c r="A38" i="280"/>
  <c r="A39" i="280"/>
  <c r="A40" i="280"/>
  <c r="A41" i="280"/>
  <c r="A42" i="280"/>
  <c r="A43" i="280"/>
  <c r="A44" i="280"/>
  <c r="A45" i="280"/>
  <c r="A46" i="280"/>
  <c r="A47" i="280"/>
  <c r="A48" i="280"/>
  <c r="A49" i="280"/>
  <c r="A50" i="280"/>
  <c r="A51" i="280"/>
  <c r="A52" i="280"/>
  <c r="A53" i="280"/>
  <c r="A54" i="280"/>
  <c r="A55" i="280"/>
  <c r="A56" i="280"/>
  <c r="A57" i="280"/>
  <c r="A58" i="280"/>
  <c r="A59" i="280"/>
  <c r="A60" i="280"/>
  <c r="A61" i="280"/>
  <c r="A62" i="280"/>
  <c r="A63" i="280"/>
  <c r="A64" i="280"/>
  <c r="A65" i="280"/>
  <c r="A66" i="280"/>
  <c r="A67" i="280"/>
  <c r="A68" i="280"/>
  <c r="A69" i="280"/>
  <c r="A70" i="280"/>
  <c r="A71" i="280"/>
  <c r="A72" i="280"/>
  <c r="A73" i="280"/>
  <c r="A74" i="280"/>
  <c r="A75" i="280"/>
  <c r="A76" i="280"/>
  <c r="A77" i="280"/>
  <c r="A78" i="280"/>
  <c r="A79" i="280"/>
  <c r="A80" i="280"/>
  <c r="A81" i="280"/>
  <c r="A82" i="280"/>
  <c r="A83" i="280"/>
  <c r="A84" i="280"/>
  <c r="A85" i="280"/>
  <c r="A86" i="280"/>
  <c r="A87" i="280"/>
  <c r="A88" i="280"/>
  <c r="A89" i="280"/>
  <c r="A90" i="280"/>
  <c r="A91" i="280"/>
  <c r="A92" i="280"/>
  <c r="A93" i="280"/>
  <c r="A94" i="280"/>
  <c r="A95" i="280"/>
  <c r="A96" i="280"/>
  <c r="A97" i="280"/>
  <c r="A98" i="280"/>
  <c r="A99" i="280"/>
  <c r="A100" i="280"/>
  <c r="A101" i="280"/>
  <c r="A102" i="280"/>
  <c r="A103" i="280"/>
  <c r="A104" i="280"/>
  <c r="A105" i="280"/>
  <c r="A106" i="280"/>
  <c r="A107" i="280"/>
  <c r="A108" i="280"/>
  <c r="A109" i="280"/>
  <c r="A110" i="280"/>
  <c r="A111" i="280"/>
  <c r="A112" i="280"/>
  <c r="A113" i="280"/>
  <c r="A114" i="280"/>
  <c r="A115" i="280"/>
  <c r="A116" i="280"/>
  <c r="A117" i="280"/>
  <c r="A118" i="280"/>
  <c r="A119" i="280"/>
  <c r="A120" i="280"/>
  <c r="A121" i="280"/>
  <c r="A122" i="280"/>
  <c r="A123" i="280"/>
  <c r="A124" i="280"/>
  <c r="A125" i="280"/>
  <c r="A126" i="280"/>
  <c r="A127" i="280"/>
  <c r="A128" i="280"/>
  <c r="A129" i="280"/>
  <c r="A130" i="280"/>
  <c r="A131" i="280"/>
  <c r="A132" i="280"/>
  <c r="A133" i="280"/>
  <c r="A134" i="280"/>
  <c r="A135" i="280"/>
  <c r="A136" i="280"/>
  <c r="A137" i="280"/>
  <c r="A138" i="280"/>
  <c r="A139" i="280"/>
  <c r="A140" i="280"/>
  <c r="A141" i="280"/>
  <c r="A142" i="280"/>
  <c r="A143" i="280"/>
  <c r="A144" i="280"/>
  <c r="A145" i="280"/>
  <c r="A146" i="280"/>
  <c r="A147" i="280"/>
  <c r="E113" i="304" l="1"/>
  <c r="D113" i="304"/>
  <c r="C113" i="304"/>
  <c r="E101" i="304"/>
  <c r="D101" i="304"/>
  <c r="C101" i="304"/>
  <c r="E96" i="304"/>
  <c r="D96" i="304"/>
  <c r="C96" i="304"/>
  <c r="G3" i="304"/>
  <c r="Y11" i="299" l="1"/>
  <c r="X11" i="299"/>
  <c r="W11" i="299"/>
  <c r="V11" i="299"/>
  <c r="V8" i="299" l="1"/>
  <c r="W8" i="299"/>
  <c r="X8" i="299"/>
  <c r="Y8" i="299"/>
  <c r="V9" i="299"/>
  <c r="W9" i="299"/>
  <c r="X9" i="299"/>
  <c r="Y9" i="299"/>
  <c r="V10" i="299"/>
  <c r="W10" i="299"/>
  <c r="X10" i="299"/>
  <c r="Y10" i="299"/>
  <c r="V12" i="299"/>
  <c r="W12" i="299"/>
  <c r="X12" i="299"/>
  <c r="Y12" i="299"/>
  <c r="V13" i="299"/>
  <c r="W13" i="299"/>
  <c r="X13" i="299"/>
  <c r="Y13" i="299"/>
  <c r="V14" i="299"/>
  <c r="W14" i="299"/>
  <c r="X14" i="299"/>
  <c r="Y14" i="299"/>
  <c r="V15" i="299"/>
  <c r="W15" i="299"/>
  <c r="X15" i="299"/>
  <c r="Y15" i="299"/>
  <c r="V16" i="299"/>
  <c r="W16" i="299"/>
  <c r="X16" i="299"/>
  <c r="Y16" i="299"/>
  <c r="V17" i="299"/>
  <c r="W17" i="299"/>
  <c r="X17" i="299"/>
  <c r="Y17" i="299"/>
  <c r="V18" i="299"/>
  <c r="W18" i="299"/>
  <c r="X18" i="299"/>
  <c r="Y18" i="299"/>
  <c r="V19" i="299"/>
  <c r="W19" i="299"/>
  <c r="X19" i="299"/>
  <c r="Y19" i="299"/>
  <c r="V20" i="299"/>
  <c r="W20" i="299"/>
  <c r="X20" i="299"/>
  <c r="Y20" i="299"/>
  <c r="V21" i="299"/>
  <c r="W21" i="299"/>
  <c r="X21" i="299"/>
  <c r="Y21" i="299"/>
  <c r="V22" i="299"/>
  <c r="W22" i="299"/>
  <c r="X22" i="299"/>
  <c r="Y22" i="299"/>
  <c r="V23" i="299"/>
  <c r="W23" i="299"/>
  <c r="X23" i="299"/>
  <c r="Y23" i="299"/>
  <c r="V24" i="299"/>
  <c r="W24" i="299"/>
  <c r="X24" i="299"/>
  <c r="Y24" i="299"/>
  <c r="V25" i="299"/>
  <c r="W25" i="299"/>
  <c r="X25" i="299"/>
  <c r="Y25" i="299"/>
  <c r="V26" i="299"/>
  <c r="W26" i="299"/>
  <c r="X26" i="299"/>
  <c r="Y26" i="299"/>
  <c r="V27" i="299"/>
  <c r="W27" i="299"/>
  <c r="X27" i="299"/>
  <c r="Y27" i="299"/>
  <c r="V28" i="299"/>
  <c r="W28" i="299"/>
  <c r="X28" i="299"/>
  <c r="Y28" i="299"/>
  <c r="V29" i="299"/>
  <c r="W29" i="299"/>
  <c r="X29" i="299"/>
  <c r="Y29" i="299"/>
  <c r="V30" i="299"/>
  <c r="W30" i="299"/>
  <c r="X30" i="299"/>
  <c r="Y30" i="299"/>
  <c r="V31" i="299"/>
  <c r="W31" i="299"/>
  <c r="X31" i="299"/>
  <c r="Y31" i="299"/>
  <c r="V32" i="299"/>
  <c r="W32" i="299"/>
  <c r="X32" i="299"/>
  <c r="Y32" i="299"/>
  <c r="V33" i="299"/>
  <c r="W33" i="299"/>
  <c r="X33" i="299"/>
  <c r="Y33" i="299"/>
  <c r="V34" i="299"/>
  <c r="W34" i="299"/>
  <c r="X34" i="299"/>
  <c r="Y34" i="299"/>
  <c r="V35" i="299"/>
  <c r="W35" i="299"/>
  <c r="X35" i="299"/>
  <c r="Y35" i="299"/>
  <c r="V36" i="299"/>
  <c r="W36" i="299"/>
  <c r="X36" i="299"/>
  <c r="Y36" i="299"/>
  <c r="V37" i="299"/>
  <c r="W37" i="299"/>
  <c r="X37" i="299"/>
  <c r="Y37" i="299"/>
  <c r="V38" i="299"/>
  <c r="W38" i="299"/>
  <c r="X38" i="299"/>
  <c r="Y38" i="299"/>
  <c r="V39" i="299"/>
  <c r="W39" i="299"/>
  <c r="X39" i="299"/>
  <c r="Y39" i="299"/>
  <c r="V40" i="299"/>
  <c r="W40" i="299"/>
  <c r="X40" i="299"/>
  <c r="Y40" i="299"/>
  <c r="V41" i="299"/>
  <c r="W41" i="299"/>
  <c r="X41" i="299"/>
  <c r="Y41" i="299"/>
  <c r="V42" i="299"/>
  <c r="W42" i="299"/>
  <c r="X42" i="299"/>
  <c r="Y42" i="299"/>
  <c r="V43" i="299"/>
  <c r="W43" i="299"/>
  <c r="X43" i="299"/>
  <c r="Y43" i="299"/>
  <c r="V44" i="299"/>
  <c r="W44" i="299"/>
  <c r="X44" i="299"/>
  <c r="Y44" i="299"/>
  <c r="V45" i="299"/>
  <c r="W45" i="299"/>
  <c r="X45" i="299"/>
  <c r="Y45" i="299"/>
  <c r="V46" i="299"/>
  <c r="W46" i="299"/>
  <c r="X46" i="299"/>
  <c r="Y46" i="299"/>
  <c r="V47" i="299"/>
  <c r="W47" i="299"/>
  <c r="X47" i="299"/>
  <c r="Y47" i="299"/>
  <c r="V48" i="299"/>
  <c r="W48" i="299"/>
  <c r="X48" i="299"/>
  <c r="Y48" i="299"/>
  <c r="V49" i="299"/>
  <c r="W49" i="299"/>
  <c r="X49" i="299"/>
  <c r="Y49" i="299"/>
  <c r="V50" i="299"/>
  <c r="W50" i="299"/>
  <c r="X50" i="299"/>
  <c r="Y50" i="299"/>
  <c r="V51" i="299"/>
  <c r="W51" i="299"/>
  <c r="X51" i="299"/>
  <c r="Y51" i="299"/>
  <c r="V52" i="299"/>
  <c r="W52" i="299"/>
  <c r="X52" i="299"/>
  <c r="Y52" i="299"/>
  <c r="V53" i="299"/>
  <c r="W53" i="299"/>
  <c r="X53" i="299"/>
  <c r="Y53" i="299"/>
  <c r="V54" i="299"/>
  <c r="W54" i="299"/>
  <c r="X54" i="299"/>
  <c r="Y54" i="299"/>
  <c r="V55" i="299"/>
  <c r="W55" i="299"/>
  <c r="X55" i="299"/>
  <c r="Y55" i="299"/>
  <c r="V56" i="299"/>
  <c r="W56" i="299"/>
  <c r="X56" i="299"/>
  <c r="Y56" i="299"/>
  <c r="V57" i="299"/>
  <c r="W57" i="299"/>
  <c r="X57" i="299"/>
  <c r="Y57" i="299"/>
  <c r="V58" i="299"/>
  <c r="W58" i="299"/>
  <c r="X58" i="299"/>
  <c r="Y58" i="299"/>
  <c r="V59" i="299"/>
  <c r="W59" i="299"/>
  <c r="X59" i="299"/>
  <c r="Y59" i="299"/>
  <c r="V60" i="299"/>
  <c r="W60" i="299"/>
  <c r="X60" i="299"/>
  <c r="Y60" i="299"/>
  <c r="V61" i="299"/>
  <c r="W61" i="299"/>
  <c r="X61" i="299"/>
  <c r="Y61" i="299"/>
  <c r="V62" i="299"/>
  <c r="W62" i="299"/>
  <c r="X62" i="299"/>
  <c r="Y62" i="299"/>
  <c r="V63" i="299"/>
  <c r="W63" i="299"/>
  <c r="X63" i="299"/>
  <c r="Y63" i="299"/>
  <c r="V64" i="299"/>
  <c r="W64" i="299"/>
  <c r="X64" i="299"/>
  <c r="Y64" i="299"/>
  <c r="V65" i="299"/>
  <c r="W65" i="299"/>
  <c r="X65" i="299"/>
  <c r="Y65" i="299"/>
  <c r="V66" i="299"/>
  <c r="W66" i="299"/>
  <c r="X66" i="299"/>
  <c r="Y66" i="299"/>
  <c r="V67" i="299"/>
  <c r="W67" i="299"/>
  <c r="X67" i="299"/>
  <c r="Y67" i="299"/>
  <c r="V68" i="299"/>
  <c r="W68" i="299"/>
  <c r="X68" i="299"/>
  <c r="Y68" i="299"/>
  <c r="V69" i="299"/>
  <c r="W69" i="299"/>
  <c r="X69" i="299"/>
  <c r="Y69" i="299"/>
  <c r="V70" i="299"/>
  <c r="W70" i="299"/>
  <c r="X70" i="299"/>
  <c r="Y70" i="299"/>
  <c r="V71" i="299"/>
  <c r="W71" i="299"/>
  <c r="X71" i="299"/>
  <c r="Y71" i="299"/>
  <c r="V72" i="299"/>
  <c r="W72" i="299"/>
  <c r="X72" i="299"/>
  <c r="Y72" i="299"/>
  <c r="V73" i="299"/>
  <c r="W73" i="299"/>
  <c r="X73" i="299"/>
  <c r="Y73" i="299"/>
  <c r="V74" i="299"/>
  <c r="W74" i="299"/>
  <c r="X74" i="299"/>
  <c r="Y74" i="299"/>
  <c r="V75" i="299"/>
  <c r="W75" i="299"/>
  <c r="X75" i="299"/>
  <c r="Y75" i="299"/>
  <c r="V76" i="299"/>
  <c r="W76" i="299"/>
  <c r="X76" i="299"/>
  <c r="Y76" i="299"/>
  <c r="V77" i="299"/>
  <c r="W77" i="299"/>
  <c r="X77" i="299"/>
  <c r="Y77" i="299"/>
  <c r="V78" i="299"/>
  <c r="W78" i="299"/>
  <c r="X78" i="299"/>
  <c r="Y78" i="299"/>
  <c r="V79" i="299"/>
  <c r="W79" i="299"/>
  <c r="X79" i="299"/>
  <c r="Y79" i="299"/>
  <c r="V80" i="299"/>
  <c r="W80" i="299"/>
  <c r="X80" i="299"/>
  <c r="Y80" i="299"/>
  <c r="V81" i="299"/>
  <c r="W81" i="299"/>
  <c r="X81" i="299"/>
  <c r="Y81" i="299"/>
  <c r="V82" i="299"/>
  <c r="W82" i="299"/>
  <c r="X82" i="299"/>
  <c r="Y82" i="299"/>
  <c r="V83" i="299"/>
  <c r="W83" i="299"/>
  <c r="X83" i="299"/>
  <c r="Y83" i="299"/>
  <c r="V84" i="299"/>
  <c r="W84" i="299"/>
  <c r="X84" i="299"/>
  <c r="Y84" i="299"/>
  <c r="V85" i="299"/>
  <c r="W85" i="299"/>
  <c r="X85" i="299"/>
  <c r="Y85" i="299"/>
  <c r="V86" i="299"/>
  <c r="W86" i="299"/>
  <c r="X86" i="299"/>
  <c r="Y86" i="299"/>
  <c r="V87" i="299"/>
  <c r="W87" i="299"/>
  <c r="X87" i="299"/>
  <c r="Y87" i="299"/>
  <c r="V88" i="299"/>
  <c r="W88" i="299"/>
  <c r="X88" i="299"/>
  <c r="Y88" i="299"/>
  <c r="V89" i="299"/>
  <c r="W89" i="299"/>
  <c r="X89" i="299"/>
  <c r="Y89" i="299"/>
  <c r="V90" i="299"/>
  <c r="W90" i="299"/>
  <c r="X90" i="299"/>
  <c r="Y90" i="299"/>
  <c r="V91" i="299"/>
  <c r="W91" i="299"/>
  <c r="X91" i="299"/>
  <c r="Y91" i="299"/>
  <c r="V92" i="299"/>
  <c r="W92" i="299"/>
  <c r="X92" i="299"/>
  <c r="Y92" i="299"/>
  <c r="V93" i="299"/>
  <c r="W93" i="299"/>
  <c r="X93" i="299"/>
  <c r="Y93" i="299"/>
  <c r="V94" i="299"/>
  <c r="W94" i="299"/>
  <c r="X94" i="299"/>
  <c r="Y94" i="299"/>
  <c r="V95" i="299"/>
  <c r="W95" i="299"/>
  <c r="X95" i="299"/>
  <c r="Y95" i="299"/>
  <c r="V96" i="299"/>
  <c r="W96" i="299"/>
  <c r="X96" i="299"/>
  <c r="Y96" i="299"/>
  <c r="V97" i="299"/>
  <c r="W97" i="299"/>
  <c r="X97" i="299"/>
  <c r="Y97" i="299"/>
  <c r="V98" i="299"/>
  <c r="W98" i="299"/>
  <c r="X98" i="299"/>
  <c r="Y98" i="299"/>
  <c r="V99" i="299"/>
  <c r="W99" i="299"/>
  <c r="X99" i="299"/>
  <c r="Y99" i="299"/>
  <c r="V100" i="299"/>
  <c r="W100" i="299"/>
  <c r="X100" i="299"/>
  <c r="Y100" i="299"/>
  <c r="V101" i="299"/>
  <c r="W101" i="299"/>
  <c r="X101" i="299"/>
  <c r="Y101" i="299"/>
  <c r="V102" i="299"/>
  <c r="W102" i="299"/>
  <c r="X102" i="299"/>
  <c r="Y102" i="299"/>
  <c r="V103" i="299"/>
  <c r="W103" i="299"/>
  <c r="X103" i="299"/>
  <c r="Y103" i="299"/>
  <c r="V104" i="299"/>
  <c r="W104" i="299"/>
  <c r="X104" i="299"/>
  <c r="Y104" i="299"/>
  <c r="V105" i="299"/>
  <c r="W105" i="299"/>
  <c r="X105" i="299"/>
  <c r="Y105" i="299"/>
  <c r="V106" i="299"/>
  <c r="W106" i="299"/>
  <c r="X106" i="299"/>
  <c r="Y106" i="299"/>
  <c r="V107" i="299"/>
  <c r="W107" i="299"/>
  <c r="X107" i="299"/>
  <c r="Y107" i="299"/>
  <c r="V108" i="299"/>
  <c r="W108" i="299"/>
  <c r="X108" i="299"/>
  <c r="Y108" i="299"/>
  <c r="V109" i="299"/>
  <c r="W109" i="299"/>
  <c r="X109" i="299"/>
  <c r="Y109" i="299"/>
  <c r="V110" i="299"/>
  <c r="W110" i="299"/>
  <c r="X110" i="299"/>
  <c r="Y110" i="299"/>
  <c r="V111" i="299"/>
  <c r="W111" i="299"/>
  <c r="X111" i="299"/>
  <c r="Y111" i="299"/>
  <c r="V112" i="299"/>
  <c r="W112" i="299"/>
  <c r="X112" i="299"/>
  <c r="Y112" i="299"/>
  <c r="V113" i="299"/>
  <c r="W113" i="299"/>
  <c r="X113" i="299"/>
  <c r="Y113" i="299"/>
  <c r="V114" i="299"/>
  <c r="W114" i="299"/>
  <c r="X114" i="299"/>
  <c r="Y114" i="299"/>
  <c r="V115" i="299"/>
  <c r="W115" i="299"/>
  <c r="X115" i="299"/>
  <c r="Y115" i="299"/>
  <c r="V116" i="299"/>
  <c r="W116" i="299"/>
  <c r="X116" i="299"/>
  <c r="Y116" i="299"/>
  <c r="V117" i="299"/>
  <c r="W117" i="299"/>
  <c r="X117" i="299"/>
  <c r="Y117" i="299"/>
  <c r="V118" i="299"/>
  <c r="W118" i="299"/>
  <c r="X118" i="299"/>
  <c r="Y118" i="299"/>
  <c r="V119" i="299"/>
  <c r="W119" i="299"/>
  <c r="X119" i="299"/>
  <c r="Y119" i="299"/>
  <c r="V120" i="299"/>
  <c r="W120" i="299"/>
  <c r="X120" i="299"/>
  <c r="Y120" i="299"/>
  <c r="V121" i="299"/>
  <c r="W121" i="299"/>
  <c r="X121" i="299"/>
  <c r="Y121" i="299"/>
  <c r="V122" i="299"/>
  <c r="W122" i="299"/>
  <c r="X122" i="299"/>
  <c r="Y122" i="299"/>
  <c r="V123" i="299"/>
  <c r="W123" i="299"/>
  <c r="X123" i="299"/>
  <c r="Y123" i="299"/>
  <c r="V124" i="299"/>
  <c r="W124" i="299"/>
  <c r="X124" i="299"/>
  <c r="Y124" i="299"/>
  <c r="V125" i="299"/>
  <c r="W125" i="299"/>
  <c r="X125" i="299"/>
  <c r="Y125" i="299"/>
  <c r="V126" i="299"/>
  <c r="W126" i="299"/>
  <c r="X126" i="299"/>
  <c r="Y126" i="299"/>
  <c r="V127" i="299"/>
  <c r="W127" i="299"/>
  <c r="X127" i="299"/>
  <c r="Y127" i="299"/>
  <c r="V128" i="299"/>
  <c r="W128" i="299"/>
  <c r="X128" i="299"/>
  <c r="Y128" i="299"/>
  <c r="V129" i="299"/>
  <c r="W129" i="299"/>
  <c r="X129" i="299"/>
  <c r="Y129" i="299"/>
  <c r="V130" i="299"/>
  <c r="W130" i="299"/>
  <c r="X130" i="299"/>
  <c r="Y130" i="299"/>
  <c r="V131" i="299"/>
  <c r="W131" i="299"/>
  <c r="X131" i="299"/>
  <c r="Y131" i="299"/>
  <c r="V132" i="299"/>
  <c r="W132" i="299"/>
  <c r="X132" i="299"/>
  <c r="Y132" i="299"/>
  <c r="V133" i="299"/>
  <c r="W133" i="299"/>
  <c r="X133" i="299"/>
  <c r="Y133" i="299"/>
  <c r="V134" i="299"/>
  <c r="W134" i="299"/>
  <c r="X134" i="299"/>
  <c r="Y134" i="299"/>
  <c r="V135" i="299"/>
  <c r="W135" i="299"/>
  <c r="X135" i="299"/>
  <c r="Y135" i="299"/>
  <c r="V136" i="299"/>
  <c r="W136" i="299"/>
  <c r="X136" i="299"/>
  <c r="Y136" i="299"/>
  <c r="V137" i="299"/>
  <c r="W137" i="299"/>
  <c r="X137" i="299"/>
  <c r="Y137" i="299"/>
  <c r="V138" i="299"/>
  <c r="W138" i="299"/>
  <c r="X138" i="299"/>
  <c r="Y138" i="299"/>
  <c r="V139" i="299"/>
  <c r="W139" i="299"/>
  <c r="X139" i="299"/>
  <c r="Y139" i="299"/>
  <c r="V140" i="299"/>
  <c r="W140" i="299"/>
  <c r="X140" i="299"/>
  <c r="Y140" i="299"/>
  <c r="V141" i="299"/>
  <c r="W141" i="299"/>
  <c r="X141" i="299"/>
  <c r="Y141" i="299"/>
  <c r="V142" i="299"/>
  <c r="W142" i="299"/>
  <c r="X142" i="299"/>
  <c r="Y142" i="299"/>
  <c r="V143" i="299"/>
  <c r="W143" i="299"/>
  <c r="X143" i="299"/>
  <c r="Y143" i="299"/>
  <c r="V144" i="299"/>
  <c r="W144" i="299"/>
  <c r="X144" i="299"/>
  <c r="Y144" i="299"/>
  <c r="V145" i="299"/>
  <c r="W145" i="299"/>
  <c r="X145" i="299"/>
  <c r="Y145" i="299"/>
  <c r="V146" i="299"/>
  <c r="W146" i="299"/>
  <c r="X146" i="299"/>
  <c r="Y146" i="299"/>
  <c r="V147" i="299"/>
  <c r="W147" i="299"/>
  <c r="X147" i="299"/>
  <c r="Y147" i="299"/>
  <c r="D17" i="292" l="1"/>
  <c r="G14" i="292" l="1"/>
  <c r="F14" i="292"/>
  <c r="E14" i="292"/>
  <c r="B4" i="292"/>
  <c r="H14" i="292" l="1"/>
  <c r="I14" i="292"/>
  <c r="H6" i="291"/>
  <c r="I6" i="291" s="1"/>
  <c r="G6" i="291"/>
  <c r="F97" i="291" s="1"/>
  <c r="F6" i="291"/>
  <c r="E6" i="291"/>
  <c r="J63" i="291" s="1"/>
  <c r="B141" i="291" l="1"/>
  <c r="B138" i="291"/>
  <c r="B167" i="291"/>
  <c r="G141" i="291"/>
  <c r="G138" i="291"/>
  <c r="G167" i="291"/>
  <c r="J92" i="291"/>
  <c r="J91" i="291" s="1"/>
  <c r="J90" i="291" s="1"/>
  <c r="J89" i="291" s="1"/>
  <c r="J88" i="291" s="1"/>
  <c r="J87" i="291" s="1"/>
  <c r="J86" i="291" s="1"/>
  <c r="J85" i="291" s="1"/>
  <c r="J84" i="291" s="1"/>
  <c r="J83" i="291" s="1"/>
  <c r="J82" i="291" s="1"/>
  <c r="J81" i="291" s="1"/>
  <c r="J78" i="291"/>
  <c r="J62" i="291"/>
  <c r="J61" i="291" s="1"/>
  <c r="J60" i="291" s="1"/>
  <c r="J59" i="291" s="1"/>
  <c r="J58" i="291" s="1"/>
  <c r="J57" i="291" s="1"/>
  <c r="J56" i="291" s="1"/>
  <c r="J55" i="291" s="1"/>
  <c r="J54" i="291" s="1"/>
  <c r="J53" i="291" s="1"/>
  <c r="J52" i="291" s="1"/>
  <c r="J51" i="291" s="1"/>
  <c r="J50" i="291" s="1"/>
  <c r="J49" i="291" s="1"/>
  <c r="J48" i="291" s="1"/>
  <c r="J47" i="291" s="1"/>
  <c r="J46" i="291" s="1"/>
  <c r="J45" i="291" s="1"/>
  <c r="J44" i="291" s="1"/>
  <c r="J43" i="291" s="1"/>
  <c r="J42" i="291" s="1"/>
  <c r="J41" i="291" s="1"/>
  <c r="J40" i="291" s="1"/>
  <c r="J39" i="291" s="1"/>
  <c r="J38" i="291" s="1"/>
  <c r="J37" i="291" s="1"/>
  <c r="J36" i="291" s="1"/>
  <c r="J35" i="291" s="1"/>
  <c r="J34" i="291" s="1"/>
  <c r="J33" i="291" s="1"/>
  <c r="J32" i="291" s="1"/>
  <c r="J31" i="291" s="1"/>
  <c r="J30" i="291" s="1"/>
  <c r="J29" i="291" s="1"/>
  <c r="J28" i="291" s="1"/>
  <c r="J27" i="291" s="1"/>
  <c r="J26" i="291" s="1"/>
  <c r="J25" i="291" s="1"/>
  <c r="J24" i="291" s="1"/>
  <c r="J23" i="291" s="1"/>
  <c r="J22" i="291" s="1"/>
  <c r="J21" i="291" s="1"/>
  <c r="J20" i="291" s="1"/>
  <c r="J19" i="291" s="1"/>
  <c r="J18" i="291" s="1"/>
  <c r="J17" i="291" s="1"/>
  <c r="J16" i="291" s="1"/>
  <c r="J15" i="291" s="1"/>
  <c r="J12" i="291"/>
  <c r="E6" i="292" l="1"/>
  <c r="F6" i="292"/>
  <c r="I10" i="292"/>
  <c r="I9" i="292"/>
  <c r="I7" i="292"/>
  <c r="D8" i="292"/>
  <c r="C10" i="292"/>
  <c r="C8" i="292"/>
  <c r="C9" i="292"/>
  <c r="C7" i="292"/>
  <c r="J6" i="292"/>
  <c r="I6" i="292"/>
  <c r="D6" i="292"/>
  <c r="C6" i="292"/>
  <c r="J64" i="291" l="1"/>
  <c r="J65" i="291" s="1"/>
  <c r="J66" i="291" s="1"/>
  <c r="G8" i="291" l="1"/>
  <c r="H8" i="291"/>
  <c r="I8" i="291"/>
  <c r="A3" i="287" l="1"/>
  <c r="D21" i="287" l="1"/>
  <c r="A23" i="287"/>
  <c r="G23" i="287"/>
  <c r="A41" i="287"/>
  <c r="G41" i="287"/>
  <c r="A60" i="287"/>
  <c r="G60" i="287"/>
  <c r="A79" i="287"/>
  <c r="G79" i="287"/>
  <c r="A97" i="287"/>
  <c r="G97" i="287"/>
  <c r="C3" i="291" l="1"/>
  <c r="C2" i="292"/>
  <c r="BW139" i="280"/>
  <c r="BW137" i="280"/>
  <c r="BW134" i="280"/>
  <c r="BW132" i="280"/>
  <c r="BW131" i="280"/>
  <c r="DA136" i="280"/>
  <c r="DA137" i="280"/>
  <c r="DA134" i="280"/>
  <c r="AV139" i="280" s="1"/>
  <c r="DA135" i="280"/>
  <c r="DA114" i="280"/>
  <c r="DA115" i="280"/>
  <c r="DA116" i="280"/>
  <c r="DA117" i="280"/>
  <c r="DA118" i="280"/>
  <c r="DA119" i="280"/>
  <c r="DA120" i="280"/>
  <c r="DA121" i="280"/>
  <c r="DA122" i="280"/>
  <c r="G28" i="303"/>
  <c r="G29" i="303"/>
  <c r="G30" i="303"/>
  <c r="G31" i="303"/>
  <c r="G32" i="303"/>
  <c r="G33" i="303"/>
  <c r="G34" i="303"/>
  <c r="G35" i="303"/>
  <c r="G36" i="303"/>
  <c r="G37" i="303"/>
  <c r="G38" i="303"/>
  <c r="G39" i="303"/>
  <c r="G40" i="303"/>
  <c r="G41" i="303"/>
  <c r="G10" i="303"/>
  <c r="G11" i="303"/>
  <c r="G12" i="303"/>
  <c r="G13" i="303"/>
  <c r="G14" i="303"/>
  <c r="G15" i="303"/>
  <c r="G16" i="303"/>
  <c r="G17" i="303"/>
  <c r="G18" i="303"/>
  <c r="G19" i="303"/>
  <c r="G20" i="303"/>
  <c r="G21" i="303"/>
  <c r="G22" i="303"/>
  <c r="G23" i="303"/>
  <c r="F41" i="303"/>
  <c r="F40" i="303"/>
  <c r="F39" i="303"/>
  <c r="F38" i="303"/>
  <c r="F37" i="303"/>
  <c r="F36" i="303"/>
  <c r="F35" i="303"/>
  <c r="F34" i="303"/>
  <c r="F33" i="303"/>
  <c r="F32" i="303"/>
  <c r="F31" i="303"/>
  <c r="F30" i="303"/>
  <c r="F29" i="303"/>
  <c r="F28" i="303"/>
  <c r="F10" i="303"/>
  <c r="F11" i="303"/>
  <c r="F12" i="303"/>
  <c r="F13" i="303"/>
  <c r="F14" i="303"/>
  <c r="F15" i="303"/>
  <c r="F16" i="303"/>
  <c r="F17" i="303"/>
  <c r="F18" i="303"/>
  <c r="F19" i="303"/>
  <c r="F20" i="303"/>
  <c r="F21" i="303"/>
  <c r="F22" i="303"/>
  <c r="F23" i="303"/>
  <c r="AT139" i="280"/>
  <c r="AU139" i="280"/>
  <c r="AW139" i="280"/>
  <c r="AT135" i="280"/>
  <c r="AU135" i="280"/>
  <c r="AW135" i="280"/>
  <c r="CB135" i="280"/>
  <c r="CC135" i="280"/>
  <c r="CD135" i="280"/>
  <c r="CE135" i="280"/>
  <c r="CB139" i="280"/>
  <c r="CC139" i="280"/>
  <c r="CD139" i="280"/>
  <c r="CE139" i="280"/>
  <c r="AV135" i="280" l="1"/>
  <c r="CA139" i="280"/>
  <c r="BX132" i="280"/>
  <c r="BX131" i="280"/>
  <c r="BX137" i="280"/>
  <c r="AS139" i="280"/>
  <c r="AS135" i="280"/>
  <c r="CA135" i="280"/>
  <c r="G3" i="300"/>
  <c r="B5" i="302" l="1"/>
  <c r="F100" i="302"/>
  <c r="C100" i="302"/>
  <c r="F98" i="302"/>
  <c r="C98" i="302"/>
  <c r="F96" i="302"/>
  <c r="C96" i="302"/>
  <c r="F93" i="302"/>
  <c r="C93" i="302"/>
  <c r="F89" i="302"/>
  <c r="C89" i="302"/>
  <c r="F86" i="302"/>
  <c r="C86" i="302"/>
  <c r="F82" i="302"/>
  <c r="C82" i="302"/>
  <c r="F76" i="302"/>
  <c r="C76" i="302"/>
  <c r="F67" i="302"/>
  <c r="C67" i="302"/>
  <c r="F62" i="302"/>
  <c r="C62" i="302"/>
  <c r="F54" i="302"/>
  <c r="C54" i="302"/>
  <c r="F46" i="302"/>
  <c r="C46" i="302"/>
  <c r="F43" i="302"/>
  <c r="C43" i="302"/>
  <c r="F38" i="302"/>
  <c r="C38" i="302"/>
  <c r="F33" i="302"/>
  <c r="C33" i="302"/>
  <c r="A7" i="301"/>
  <c r="BU147" i="280" l="1"/>
  <c r="CE142" i="280"/>
  <c r="CD142" i="280"/>
  <c r="CE141" i="280"/>
  <c r="CD141" i="280"/>
  <c r="CE137" i="280"/>
  <c r="CD137" i="280"/>
  <c r="CE134" i="280"/>
  <c r="CD134" i="280"/>
  <c r="CE133" i="280"/>
  <c r="CD133" i="280"/>
  <c r="CE132" i="280"/>
  <c r="CD132" i="280"/>
  <c r="CE131" i="280"/>
  <c r="CD131" i="280"/>
  <c r="CC142" i="280"/>
  <c r="CB142" i="280"/>
  <c r="CC141" i="280"/>
  <c r="CB141" i="280"/>
  <c r="CC137" i="280"/>
  <c r="CB137" i="280"/>
  <c r="CC134" i="280"/>
  <c r="CB134" i="280"/>
  <c r="CC133" i="280"/>
  <c r="CB133" i="280"/>
  <c r="CC132" i="280"/>
  <c r="CB132" i="280"/>
  <c r="CC131" i="280"/>
  <c r="CB131" i="280"/>
  <c r="AW142" i="280"/>
  <c r="AV142" i="280"/>
  <c r="AW141" i="280"/>
  <c r="AV141" i="280"/>
  <c r="AW137" i="280"/>
  <c r="AV137" i="280"/>
  <c r="AW134" i="280"/>
  <c r="AV134" i="280"/>
  <c r="AW133" i="280"/>
  <c r="AV133" i="280"/>
  <c r="AW132" i="280"/>
  <c r="AV132" i="280"/>
  <c r="AW131" i="280"/>
  <c r="AV131" i="280"/>
  <c r="AU142" i="280"/>
  <c r="AT142" i="280"/>
  <c r="AU141" i="280"/>
  <c r="AT141" i="280"/>
  <c r="AU137" i="280"/>
  <c r="AT137" i="280"/>
  <c r="AU134" i="280"/>
  <c r="AT134" i="280"/>
  <c r="AU133" i="280"/>
  <c r="AT133" i="280"/>
  <c r="AU132" i="280"/>
  <c r="AT132" i="280"/>
  <c r="AU131" i="280"/>
  <c r="AT131" i="280"/>
  <c r="CA131" i="280"/>
  <c r="CA133" i="280" l="1"/>
  <c r="CA137" i="280"/>
  <c r="CA142" i="280"/>
  <c r="CA132" i="280"/>
  <c r="CA134" i="280"/>
  <c r="CA141" i="280"/>
  <c r="AS132" i="280"/>
  <c r="AS134" i="280"/>
  <c r="AS137" i="280"/>
  <c r="AS142" i="280"/>
  <c r="AS131" i="280"/>
  <c r="AS133" i="280"/>
  <c r="AS141" i="280"/>
  <c r="BV141" i="280"/>
  <c r="CO120" i="280" l="1"/>
  <c r="CN120" i="280"/>
  <c r="CM120" i="280"/>
  <c r="CL120" i="280"/>
  <c r="CK120" i="280"/>
  <c r="CJ120" i="280"/>
  <c r="CI120" i="280"/>
  <c r="CO119" i="280"/>
  <c r="CN119" i="280"/>
  <c r="CM119" i="280"/>
  <c r="CL119" i="280"/>
  <c r="CK119" i="280"/>
  <c r="CJ119" i="280"/>
  <c r="CI119" i="280"/>
  <c r="CO118" i="280"/>
  <c r="CN118" i="280"/>
  <c r="CM118" i="280"/>
  <c r="CL118" i="280"/>
  <c r="CK118" i="280"/>
  <c r="CJ118" i="280"/>
  <c r="CI118" i="280"/>
  <c r="CO117" i="280"/>
  <c r="CN117" i="280"/>
  <c r="CM117" i="280"/>
  <c r="CL117" i="280"/>
  <c r="CK117" i="280"/>
  <c r="CJ117" i="280"/>
  <c r="CI117" i="280"/>
  <c r="CO116" i="280"/>
  <c r="CN116" i="280"/>
  <c r="CM116" i="280"/>
  <c r="CL116" i="280"/>
  <c r="CK116" i="280"/>
  <c r="CJ116" i="280"/>
  <c r="CI116" i="280"/>
  <c r="CO115" i="280"/>
  <c r="CN115" i="280"/>
  <c r="CM115" i="280"/>
  <c r="CL115" i="280"/>
  <c r="CK115" i="280"/>
  <c r="CJ115" i="280"/>
  <c r="CI115" i="280"/>
  <c r="CO114" i="280"/>
  <c r="CN114" i="280"/>
  <c r="CM114" i="280"/>
  <c r="CL114" i="280"/>
  <c r="CK114" i="280"/>
  <c r="CJ114" i="280"/>
  <c r="CI114" i="280"/>
  <c r="CO113" i="280"/>
  <c r="CN113" i="280"/>
  <c r="CM113" i="280"/>
  <c r="CL113" i="280"/>
  <c r="CK113" i="280"/>
  <c r="CJ113" i="280"/>
  <c r="CI113" i="280"/>
  <c r="CO112" i="280"/>
  <c r="CN112" i="280"/>
  <c r="CM112" i="280"/>
  <c r="CL112" i="280"/>
  <c r="CK112" i="280"/>
  <c r="CJ112" i="280"/>
  <c r="CI112" i="280"/>
  <c r="CO111" i="280"/>
  <c r="CN111" i="280"/>
  <c r="CM111" i="280"/>
  <c r="CL111" i="280"/>
  <c r="CK111" i="280"/>
  <c r="CJ111" i="280"/>
  <c r="CI111" i="280"/>
  <c r="CO109" i="280"/>
  <c r="CN109" i="280"/>
  <c r="CM109" i="280"/>
  <c r="CL109" i="280"/>
  <c r="CK109" i="280"/>
  <c r="CJ109" i="280"/>
  <c r="CI109" i="280"/>
  <c r="CO108" i="280"/>
  <c r="CN108" i="280"/>
  <c r="CM108" i="280"/>
  <c r="CL108" i="280"/>
  <c r="CK108" i="280"/>
  <c r="CJ108" i="280"/>
  <c r="CI108" i="280"/>
  <c r="CO107" i="280"/>
  <c r="CN107" i="280"/>
  <c r="CM107" i="280"/>
  <c r="CL107" i="280"/>
  <c r="CK107" i="280"/>
  <c r="CJ107" i="280"/>
  <c r="CI107" i="280"/>
  <c r="CO106" i="280"/>
  <c r="CN106" i="280"/>
  <c r="CM106" i="280"/>
  <c r="CL106" i="280"/>
  <c r="CK106" i="280"/>
  <c r="CJ106" i="280"/>
  <c r="CI106" i="280"/>
  <c r="CO105" i="280"/>
  <c r="CN105" i="280"/>
  <c r="CM105" i="280"/>
  <c r="CL105" i="280"/>
  <c r="CK105" i="280"/>
  <c r="CJ105" i="280"/>
  <c r="CI105" i="280"/>
  <c r="CO104" i="280"/>
  <c r="CN104" i="280"/>
  <c r="CM104" i="280"/>
  <c r="CL104" i="280"/>
  <c r="CK104" i="280"/>
  <c r="CJ104" i="280"/>
  <c r="CI104" i="280"/>
  <c r="CO103" i="280"/>
  <c r="CN103" i="280"/>
  <c r="CM103" i="280"/>
  <c r="CL103" i="280"/>
  <c r="CK103" i="280"/>
  <c r="CJ103" i="280"/>
  <c r="CI103" i="280"/>
  <c r="CO102" i="280"/>
  <c r="CN102" i="280"/>
  <c r="CM102" i="280"/>
  <c r="CL102" i="280"/>
  <c r="CK102" i="280"/>
  <c r="CJ102" i="280"/>
  <c r="CI102" i="280"/>
  <c r="CO101" i="280"/>
  <c r="CN101" i="280"/>
  <c r="CM101" i="280"/>
  <c r="CL101" i="280"/>
  <c r="CK101" i="280"/>
  <c r="CJ101" i="280"/>
  <c r="CI101" i="280"/>
  <c r="CO100" i="280"/>
  <c r="CN100" i="280"/>
  <c r="CM100" i="280"/>
  <c r="CL100" i="280"/>
  <c r="CK100" i="280"/>
  <c r="CJ100" i="280"/>
  <c r="CI100" i="280"/>
  <c r="CO98" i="280"/>
  <c r="CN98" i="280"/>
  <c r="CM98" i="280"/>
  <c r="CL98" i="280"/>
  <c r="CK98" i="280"/>
  <c r="CJ98" i="280"/>
  <c r="CI98" i="280"/>
  <c r="CO97" i="280"/>
  <c r="CN97" i="280"/>
  <c r="CM97" i="280"/>
  <c r="CL97" i="280"/>
  <c r="CK97" i="280"/>
  <c r="CJ97" i="280"/>
  <c r="CI97" i="280"/>
  <c r="CO96" i="280"/>
  <c r="CN96" i="280"/>
  <c r="CM96" i="280"/>
  <c r="CL96" i="280"/>
  <c r="CK96" i="280"/>
  <c r="CJ96" i="280"/>
  <c r="CI96" i="280"/>
  <c r="CO95" i="280"/>
  <c r="CN95" i="280"/>
  <c r="CM95" i="280"/>
  <c r="CL95" i="280"/>
  <c r="CK95" i="280"/>
  <c r="CJ95" i="280"/>
  <c r="CI95" i="280"/>
  <c r="CO94" i="280"/>
  <c r="CN94" i="280"/>
  <c r="CM94" i="280"/>
  <c r="CL94" i="280"/>
  <c r="CK94" i="280"/>
  <c r="CJ94" i="280"/>
  <c r="CI94" i="280"/>
  <c r="CO93" i="280"/>
  <c r="CN93" i="280"/>
  <c r="CM93" i="280"/>
  <c r="CL93" i="280"/>
  <c r="CK93" i="280"/>
  <c r="CJ93" i="280"/>
  <c r="CI93" i="280"/>
  <c r="CO92" i="280"/>
  <c r="CN92" i="280"/>
  <c r="CM92" i="280"/>
  <c r="CL92" i="280"/>
  <c r="CK92" i="280"/>
  <c r="CJ92" i="280"/>
  <c r="CI92" i="280"/>
  <c r="CO91" i="280"/>
  <c r="CN91" i="280"/>
  <c r="CM91" i="280"/>
  <c r="CL91" i="280"/>
  <c r="CK91" i="280"/>
  <c r="CJ91" i="280"/>
  <c r="CI91" i="280"/>
  <c r="CO90" i="280"/>
  <c r="CN90" i="280"/>
  <c r="CM90" i="280"/>
  <c r="CL90" i="280"/>
  <c r="CK90" i="280"/>
  <c r="CJ90" i="280"/>
  <c r="CI90" i="280"/>
  <c r="CO89" i="280"/>
  <c r="CN89" i="280"/>
  <c r="CM89" i="280"/>
  <c r="CL89" i="280"/>
  <c r="CK89" i="280"/>
  <c r="CJ89" i="280"/>
  <c r="CI89" i="280"/>
  <c r="BG120" i="280"/>
  <c r="BF120" i="280"/>
  <c r="BE120" i="280"/>
  <c r="BD120" i="280"/>
  <c r="BC120" i="280"/>
  <c r="BB120" i="280"/>
  <c r="BA120" i="280"/>
  <c r="BG119" i="280"/>
  <c r="BF119" i="280"/>
  <c r="BE119" i="280"/>
  <c r="BD119" i="280"/>
  <c r="BC119" i="280"/>
  <c r="BB119" i="280"/>
  <c r="BA119" i="280"/>
  <c r="BG118" i="280"/>
  <c r="BF118" i="280"/>
  <c r="BE118" i="280"/>
  <c r="BD118" i="280"/>
  <c r="BC118" i="280"/>
  <c r="BB118" i="280"/>
  <c r="BA118" i="280"/>
  <c r="BG117" i="280"/>
  <c r="BF117" i="280"/>
  <c r="BE117" i="280"/>
  <c r="BD117" i="280"/>
  <c r="BC117" i="280"/>
  <c r="BB117" i="280"/>
  <c r="BA117" i="280"/>
  <c r="BG116" i="280"/>
  <c r="BF116" i="280"/>
  <c r="BE116" i="280"/>
  <c r="BD116" i="280"/>
  <c r="BC116" i="280"/>
  <c r="BB116" i="280"/>
  <c r="BA116" i="280"/>
  <c r="BG115" i="280"/>
  <c r="BF115" i="280"/>
  <c r="BE115" i="280"/>
  <c r="BD115" i="280"/>
  <c r="BC115" i="280"/>
  <c r="BB115" i="280"/>
  <c r="BA115" i="280"/>
  <c r="BG114" i="280"/>
  <c r="BF114" i="280"/>
  <c r="BE114" i="280"/>
  <c r="BD114" i="280"/>
  <c r="BC114" i="280"/>
  <c r="BB114" i="280"/>
  <c r="BA114" i="280"/>
  <c r="BG113" i="280"/>
  <c r="BF113" i="280"/>
  <c r="BE113" i="280"/>
  <c r="BD113" i="280"/>
  <c r="BC113" i="280"/>
  <c r="BB113" i="280"/>
  <c r="BA113" i="280"/>
  <c r="BG112" i="280"/>
  <c r="BF112" i="280"/>
  <c r="BE112" i="280"/>
  <c r="BD112" i="280"/>
  <c r="BC112" i="280"/>
  <c r="BB112" i="280"/>
  <c r="BA112" i="280"/>
  <c r="BG111" i="280"/>
  <c r="BF111" i="280"/>
  <c r="BE111" i="280"/>
  <c r="BD111" i="280"/>
  <c r="BC111" i="280"/>
  <c r="BB111" i="280"/>
  <c r="BA111" i="280"/>
  <c r="BG109" i="280"/>
  <c r="BF109" i="280"/>
  <c r="BE109" i="280"/>
  <c r="BD109" i="280"/>
  <c r="BC109" i="280"/>
  <c r="BB109" i="280"/>
  <c r="BA109" i="280"/>
  <c r="BG108" i="280"/>
  <c r="BF108" i="280"/>
  <c r="BE108" i="280"/>
  <c r="BD108" i="280"/>
  <c r="BC108" i="280"/>
  <c r="BB108" i="280"/>
  <c r="BA108" i="280"/>
  <c r="BG107" i="280"/>
  <c r="BF107" i="280"/>
  <c r="BE107" i="280"/>
  <c r="BD107" i="280"/>
  <c r="BC107" i="280"/>
  <c r="BB107" i="280"/>
  <c r="BA107" i="280"/>
  <c r="BG106" i="280"/>
  <c r="BF106" i="280"/>
  <c r="BE106" i="280"/>
  <c r="BD106" i="280"/>
  <c r="BC106" i="280"/>
  <c r="BB106" i="280"/>
  <c r="BA106" i="280"/>
  <c r="BG105" i="280"/>
  <c r="BF105" i="280"/>
  <c r="BE105" i="280"/>
  <c r="BD105" i="280"/>
  <c r="BC105" i="280"/>
  <c r="BB105" i="280"/>
  <c r="BA105" i="280"/>
  <c r="BG104" i="280"/>
  <c r="BF104" i="280"/>
  <c r="BE104" i="280"/>
  <c r="BD104" i="280"/>
  <c r="BC104" i="280"/>
  <c r="BB104" i="280"/>
  <c r="BA104" i="280"/>
  <c r="BG103" i="280"/>
  <c r="BF103" i="280"/>
  <c r="BE103" i="280"/>
  <c r="BD103" i="280"/>
  <c r="BC103" i="280"/>
  <c r="BB103" i="280"/>
  <c r="BA103" i="280"/>
  <c r="BG102" i="280"/>
  <c r="BF102" i="280"/>
  <c r="BE102" i="280"/>
  <c r="BD102" i="280"/>
  <c r="BC102" i="280"/>
  <c r="BB102" i="280"/>
  <c r="BA102" i="280"/>
  <c r="BG101" i="280"/>
  <c r="BF101" i="280"/>
  <c r="BE101" i="280"/>
  <c r="BD101" i="280"/>
  <c r="BC101" i="280"/>
  <c r="BB101" i="280"/>
  <c r="BA101" i="280"/>
  <c r="BG100" i="280"/>
  <c r="BF100" i="280"/>
  <c r="BE100" i="280"/>
  <c r="BD100" i="280"/>
  <c r="BC100" i="280"/>
  <c r="BB100" i="280"/>
  <c r="BA100" i="280"/>
  <c r="BG98" i="280"/>
  <c r="BF98" i="280"/>
  <c r="BE98" i="280"/>
  <c r="BD98" i="280"/>
  <c r="BC98" i="280"/>
  <c r="BB98" i="280"/>
  <c r="BA98" i="280"/>
  <c r="BG97" i="280"/>
  <c r="BF97" i="280"/>
  <c r="BE97" i="280"/>
  <c r="BD97" i="280"/>
  <c r="BC97" i="280"/>
  <c r="BB97" i="280"/>
  <c r="BA97" i="280"/>
  <c r="BG96" i="280"/>
  <c r="BF96" i="280"/>
  <c r="BE96" i="280"/>
  <c r="BD96" i="280"/>
  <c r="BC96" i="280"/>
  <c r="BB96" i="280"/>
  <c r="BA96" i="280"/>
  <c r="BG95" i="280"/>
  <c r="BF95" i="280"/>
  <c r="BE95" i="280"/>
  <c r="BD95" i="280"/>
  <c r="BC95" i="280"/>
  <c r="BB95" i="280"/>
  <c r="BA95" i="280"/>
  <c r="BG94" i="280"/>
  <c r="BF94" i="280"/>
  <c r="BE94" i="280"/>
  <c r="BD94" i="280"/>
  <c r="BC94" i="280"/>
  <c r="BB94" i="280"/>
  <c r="BA94" i="280"/>
  <c r="BG93" i="280"/>
  <c r="BF93" i="280"/>
  <c r="BE93" i="280"/>
  <c r="BD93" i="280"/>
  <c r="BC93" i="280"/>
  <c r="BB93" i="280"/>
  <c r="BA93" i="280"/>
  <c r="BG92" i="280"/>
  <c r="BF92" i="280"/>
  <c r="BE92" i="280"/>
  <c r="BD92" i="280"/>
  <c r="BC92" i="280"/>
  <c r="BB92" i="280"/>
  <c r="BA92" i="280"/>
  <c r="BG91" i="280"/>
  <c r="BF91" i="280"/>
  <c r="BE91" i="280"/>
  <c r="BD91" i="280"/>
  <c r="BC91" i="280"/>
  <c r="BB91" i="280"/>
  <c r="BA91" i="280"/>
  <c r="BG90" i="280"/>
  <c r="BF90" i="280"/>
  <c r="BE90" i="280"/>
  <c r="BD90" i="280"/>
  <c r="BC90" i="280"/>
  <c r="BB90" i="280"/>
  <c r="BA90" i="280"/>
  <c r="BG89" i="280"/>
  <c r="BF89" i="280"/>
  <c r="BE89" i="280"/>
  <c r="BD89" i="280"/>
  <c r="BC89" i="280"/>
  <c r="BB89" i="280"/>
  <c r="BA89" i="280"/>
  <c r="CH120" i="280"/>
  <c r="CG120" i="280"/>
  <c r="CF120" i="280"/>
  <c r="CE120" i="280"/>
  <c r="CD120" i="280"/>
  <c r="CC120" i="280"/>
  <c r="CB120" i="280"/>
  <c r="CH119" i="280"/>
  <c r="CG119" i="280"/>
  <c r="CF119" i="280"/>
  <c r="CE119" i="280"/>
  <c r="CD119" i="280"/>
  <c r="CC119" i="280"/>
  <c r="CB119" i="280"/>
  <c r="CA119" i="280" s="1"/>
  <c r="CH118" i="280"/>
  <c r="CG118" i="280"/>
  <c r="CF118" i="280"/>
  <c r="CE118" i="280"/>
  <c r="CD118" i="280"/>
  <c r="CC118" i="280"/>
  <c r="CB118" i="280"/>
  <c r="CH117" i="280"/>
  <c r="CG117" i="280"/>
  <c r="CF117" i="280"/>
  <c r="CE117" i="280"/>
  <c r="CD117" i="280"/>
  <c r="CC117" i="280"/>
  <c r="CB117" i="280"/>
  <c r="CA117" i="280" s="1"/>
  <c r="CH116" i="280"/>
  <c r="CG116" i="280"/>
  <c r="CF116" i="280"/>
  <c r="CE116" i="280"/>
  <c r="CD116" i="280"/>
  <c r="CC116" i="280"/>
  <c r="CB116" i="280"/>
  <c r="CH115" i="280"/>
  <c r="CG115" i="280"/>
  <c r="CF115" i="280"/>
  <c r="CE115" i="280"/>
  <c r="CD115" i="280"/>
  <c r="CC115" i="280"/>
  <c r="CB115" i="280"/>
  <c r="CA115" i="280" s="1"/>
  <c r="CH114" i="280"/>
  <c r="CG114" i="280"/>
  <c r="CF114" i="280"/>
  <c r="CE114" i="280"/>
  <c r="CD114" i="280"/>
  <c r="CC114" i="280"/>
  <c r="CB114" i="280"/>
  <c r="CH113" i="280"/>
  <c r="CG113" i="280"/>
  <c r="CF113" i="280"/>
  <c r="CE113" i="280"/>
  <c r="CD113" i="280"/>
  <c r="CC113" i="280"/>
  <c r="CB113" i="280"/>
  <c r="CA113" i="280" s="1"/>
  <c r="CH112" i="280"/>
  <c r="CG112" i="280"/>
  <c r="CF112" i="280"/>
  <c r="CE112" i="280"/>
  <c r="CD112" i="280"/>
  <c r="CC112" i="280"/>
  <c r="CB112" i="280"/>
  <c r="CH111" i="280"/>
  <c r="CG111" i="280"/>
  <c r="CF111" i="280"/>
  <c r="CE111" i="280"/>
  <c r="CD111" i="280"/>
  <c r="CC111" i="280"/>
  <c r="CB111" i="280"/>
  <c r="CA111" i="280" s="1"/>
  <c r="CH109" i="280"/>
  <c r="CG109" i="280"/>
  <c r="CF109" i="280"/>
  <c r="CE109" i="280"/>
  <c r="CD109" i="280"/>
  <c r="CC109" i="280"/>
  <c r="CB109" i="280"/>
  <c r="CH108" i="280"/>
  <c r="CG108" i="280"/>
  <c r="CF108" i="280"/>
  <c r="CE108" i="280"/>
  <c r="CD108" i="280"/>
  <c r="CC108" i="280"/>
  <c r="CB108" i="280"/>
  <c r="CA108" i="280" s="1"/>
  <c r="CH107" i="280"/>
  <c r="CG107" i="280"/>
  <c r="CF107" i="280"/>
  <c r="CE107" i="280"/>
  <c r="CD107" i="280"/>
  <c r="CC107" i="280"/>
  <c r="CB107" i="280"/>
  <c r="CH106" i="280"/>
  <c r="CG106" i="280"/>
  <c r="CF106" i="280"/>
  <c r="CE106" i="280"/>
  <c r="CD106" i="280"/>
  <c r="CC106" i="280"/>
  <c r="CB106" i="280"/>
  <c r="CA106" i="280" s="1"/>
  <c r="CH105" i="280"/>
  <c r="CG105" i="280"/>
  <c r="CF105" i="280"/>
  <c r="CE105" i="280"/>
  <c r="CD105" i="280"/>
  <c r="CC105" i="280"/>
  <c r="CB105" i="280"/>
  <c r="CH104" i="280"/>
  <c r="CG104" i="280"/>
  <c r="CF104" i="280"/>
  <c r="CE104" i="280"/>
  <c r="CD104" i="280"/>
  <c r="CC104" i="280"/>
  <c r="CB104" i="280"/>
  <c r="CA104" i="280" s="1"/>
  <c r="CH103" i="280"/>
  <c r="CG103" i="280"/>
  <c r="CF103" i="280"/>
  <c r="CE103" i="280"/>
  <c r="CD103" i="280"/>
  <c r="CC103" i="280"/>
  <c r="CB103" i="280"/>
  <c r="CH102" i="280"/>
  <c r="CG102" i="280"/>
  <c r="CF102" i="280"/>
  <c r="CE102" i="280"/>
  <c r="CD102" i="280"/>
  <c r="CC102" i="280"/>
  <c r="CB102" i="280"/>
  <c r="CA102" i="280" s="1"/>
  <c r="CH101" i="280"/>
  <c r="CG101" i="280"/>
  <c r="CF101" i="280"/>
  <c r="CE101" i="280"/>
  <c r="CD101" i="280"/>
  <c r="CC101" i="280"/>
  <c r="CB101" i="280"/>
  <c r="CH100" i="280"/>
  <c r="CG100" i="280"/>
  <c r="CF100" i="280"/>
  <c r="CE100" i="280"/>
  <c r="CD100" i="280"/>
  <c r="CC100" i="280"/>
  <c r="CB100" i="280"/>
  <c r="CA100" i="280" s="1"/>
  <c r="CH98" i="280"/>
  <c r="CG98" i="280"/>
  <c r="CF98" i="280"/>
  <c r="CE98" i="280"/>
  <c r="CD98" i="280"/>
  <c r="CC98" i="280"/>
  <c r="CB98" i="280"/>
  <c r="CH97" i="280"/>
  <c r="CG97" i="280"/>
  <c r="CF97" i="280"/>
  <c r="CE97" i="280"/>
  <c r="CD97" i="280"/>
  <c r="CC97" i="280"/>
  <c r="CB97" i="280"/>
  <c r="CH96" i="280"/>
  <c r="CG96" i="280"/>
  <c r="CF96" i="280"/>
  <c r="CE96" i="280"/>
  <c r="CD96" i="280"/>
  <c r="CC96" i="280"/>
  <c r="CB96" i="280"/>
  <c r="CH95" i="280"/>
  <c r="CG95" i="280"/>
  <c r="CF95" i="280"/>
  <c r="CE95" i="280"/>
  <c r="CD95" i="280"/>
  <c r="CC95" i="280"/>
  <c r="CB95" i="280"/>
  <c r="CH94" i="280"/>
  <c r="CG94" i="280"/>
  <c r="CF94" i="280"/>
  <c r="CE94" i="280"/>
  <c r="CD94" i="280"/>
  <c r="CC94" i="280"/>
  <c r="CB94" i="280"/>
  <c r="CH93" i="280"/>
  <c r="CG93" i="280"/>
  <c r="CF93" i="280"/>
  <c r="CE93" i="280"/>
  <c r="CD93" i="280"/>
  <c r="CC93" i="280"/>
  <c r="CB93" i="280"/>
  <c r="CH92" i="280"/>
  <c r="CG92" i="280"/>
  <c r="CF92" i="280"/>
  <c r="CE92" i="280"/>
  <c r="CD92" i="280"/>
  <c r="CC92" i="280"/>
  <c r="CB92" i="280"/>
  <c r="CH91" i="280"/>
  <c r="CG91" i="280"/>
  <c r="CF91" i="280"/>
  <c r="CE91" i="280"/>
  <c r="CD91" i="280"/>
  <c r="CC91" i="280"/>
  <c r="CB91" i="280"/>
  <c r="CH90" i="280"/>
  <c r="CG90" i="280"/>
  <c r="CF90" i="280"/>
  <c r="CE90" i="280"/>
  <c r="CD90" i="280"/>
  <c r="CC90" i="280"/>
  <c r="CB90" i="280"/>
  <c r="CH89" i="280"/>
  <c r="CG89" i="280"/>
  <c r="CF89" i="280"/>
  <c r="CE89" i="280"/>
  <c r="CD89" i="280"/>
  <c r="CC89" i="280"/>
  <c r="CB89" i="280"/>
  <c r="AZ120" i="280"/>
  <c r="AY120" i="280"/>
  <c r="AX120" i="280"/>
  <c r="AW120" i="280"/>
  <c r="AV120" i="280"/>
  <c r="AU120" i="280"/>
  <c r="AT120" i="280"/>
  <c r="AZ119" i="280"/>
  <c r="AY119" i="280"/>
  <c r="AX119" i="280"/>
  <c r="AW119" i="280"/>
  <c r="AV119" i="280"/>
  <c r="AU119" i="280"/>
  <c r="AT119" i="280"/>
  <c r="AZ118" i="280"/>
  <c r="AY118" i="280"/>
  <c r="AX118" i="280"/>
  <c r="AW118" i="280"/>
  <c r="AV118" i="280"/>
  <c r="AU118" i="280"/>
  <c r="AT118" i="280"/>
  <c r="AZ117" i="280"/>
  <c r="AY117" i="280"/>
  <c r="AX117" i="280"/>
  <c r="AW117" i="280"/>
  <c r="AV117" i="280"/>
  <c r="AU117" i="280"/>
  <c r="AT117" i="280"/>
  <c r="AZ116" i="280"/>
  <c r="AY116" i="280"/>
  <c r="AX116" i="280"/>
  <c r="AW116" i="280"/>
  <c r="AV116" i="280"/>
  <c r="AU116" i="280"/>
  <c r="AT116" i="280"/>
  <c r="AZ115" i="280"/>
  <c r="AY115" i="280"/>
  <c r="AX115" i="280"/>
  <c r="AW115" i="280"/>
  <c r="AV115" i="280"/>
  <c r="AU115" i="280"/>
  <c r="AT115" i="280"/>
  <c r="AZ114" i="280"/>
  <c r="AY114" i="280"/>
  <c r="AX114" i="280"/>
  <c r="AW114" i="280"/>
  <c r="AV114" i="280"/>
  <c r="AU114" i="280"/>
  <c r="AT114" i="280"/>
  <c r="AZ113" i="280"/>
  <c r="AY113" i="280"/>
  <c r="AX113" i="280"/>
  <c r="AW113" i="280"/>
  <c r="AV113" i="280"/>
  <c r="AU113" i="280"/>
  <c r="AT113" i="280"/>
  <c r="AZ112" i="280"/>
  <c r="AY112" i="280"/>
  <c r="AX112" i="280"/>
  <c r="AW112" i="280"/>
  <c r="AV112" i="280"/>
  <c r="AU112" i="280"/>
  <c r="AT112" i="280"/>
  <c r="AZ111" i="280"/>
  <c r="AY111" i="280"/>
  <c r="AX111" i="280"/>
  <c r="AW111" i="280"/>
  <c r="AV111" i="280"/>
  <c r="AU111" i="280"/>
  <c r="AT111" i="280"/>
  <c r="AZ109" i="280"/>
  <c r="AY109" i="280"/>
  <c r="AX109" i="280"/>
  <c r="AW109" i="280"/>
  <c r="AV109" i="280"/>
  <c r="AU109" i="280"/>
  <c r="AT109" i="280"/>
  <c r="AZ108" i="280"/>
  <c r="AY108" i="280"/>
  <c r="AX108" i="280"/>
  <c r="AW108" i="280"/>
  <c r="AV108" i="280"/>
  <c r="AU108" i="280"/>
  <c r="AT108" i="280"/>
  <c r="AZ107" i="280"/>
  <c r="AY107" i="280"/>
  <c r="AX107" i="280"/>
  <c r="AW107" i="280"/>
  <c r="AV107" i="280"/>
  <c r="AU107" i="280"/>
  <c r="AT107" i="280"/>
  <c r="AZ106" i="280"/>
  <c r="AY106" i="280"/>
  <c r="AX106" i="280"/>
  <c r="AW106" i="280"/>
  <c r="AV106" i="280"/>
  <c r="AU106" i="280"/>
  <c r="AT106" i="280"/>
  <c r="AZ105" i="280"/>
  <c r="AY105" i="280"/>
  <c r="AX105" i="280"/>
  <c r="AW105" i="280"/>
  <c r="AV105" i="280"/>
  <c r="AU105" i="280"/>
  <c r="AT105" i="280"/>
  <c r="AZ104" i="280"/>
  <c r="AY104" i="280"/>
  <c r="AX104" i="280"/>
  <c r="AW104" i="280"/>
  <c r="AV104" i="280"/>
  <c r="AU104" i="280"/>
  <c r="AT104" i="280"/>
  <c r="AZ103" i="280"/>
  <c r="AY103" i="280"/>
  <c r="AX103" i="280"/>
  <c r="AW103" i="280"/>
  <c r="AV103" i="280"/>
  <c r="AU103" i="280"/>
  <c r="AT103" i="280"/>
  <c r="AZ102" i="280"/>
  <c r="AY102" i="280"/>
  <c r="AX102" i="280"/>
  <c r="AW102" i="280"/>
  <c r="AV102" i="280"/>
  <c r="AU102" i="280"/>
  <c r="AT102" i="280"/>
  <c r="AZ101" i="280"/>
  <c r="AY101" i="280"/>
  <c r="AX101" i="280"/>
  <c r="AW101" i="280"/>
  <c r="AV101" i="280"/>
  <c r="AU101" i="280"/>
  <c r="AT101" i="280"/>
  <c r="AZ100" i="280"/>
  <c r="AY100" i="280"/>
  <c r="AX100" i="280"/>
  <c r="AW100" i="280"/>
  <c r="AV100" i="280"/>
  <c r="AU100" i="280"/>
  <c r="AT100" i="280"/>
  <c r="AZ98" i="280"/>
  <c r="AY98" i="280"/>
  <c r="AX98" i="280"/>
  <c r="AW98" i="280"/>
  <c r="AV98" i="280"/>
  <c r="AU98" i="280"/>
  <c r="AT98" i="280"/>
  <c r="AZ97" i="280"/>
  <c r="AY97" i="280"/>
  <c r="AX97" i="280"/>
  <c r="AW97" i="280"/>
  <c r="AV97" i="280"/>
  <c r="AU97" i="280"/>
  <c r="AT97" i="280"/>
  <c r="AZ96" i="280"/>
  <c r="AY96" i="280"/>
  <c r="AX96" i="280"/>
  <c r="AW96" i="280"/>
  <c r="AV96" i="280"/>
  <c r="AU96" i="280"/>
  <c r="AT96" i="280"/>
  <c r="AZ95" i="280"/>
  <c r="AY95" i="280"/>
  <c r="AX95" i="280"/>
  <c r="AW95" i="280"/>
  <c r="AV95" i="280"/>
  <c r="AU95" i="280"/>
  <c r="AT95" i="280"/>
  <c r="AZ94" i="280"/>
  <c r="AY94" i="280"/>
  <c r="AX94" i="280"/>
  <c r="AW94" i="280"/>
  <c r="AV94" i="280"/>
  <c r="AU94" i="280"/>
  <c r="AT94" i="280"/>
  <c r="AZ93" i="280"/>
  <c r="AY93" i="280"/>
  <c r="AX93" i="280"/>
  <c r="AW93" i="280"/>
  <c r="AV93" i="280"/>
  <c r="AU93" i="280"/>
  <c r="AT93" i="280"/>
  <c r="AZ92" i="280"/>
  <c r="AY92" i="280"/>
  <c r="AX92" i="280"/>
  <c r="AW92" i="280"/>
  <c r="AV92" i="280"/>
  <c r="AU92" i="280"/>
  <c r="AT92" i="280"/>
  <c r="AZ91" i="280"/>
  <c r="AY91" i="280"/>
  <c r="AX91" i="280"/>
  <c r="AW91" i="280"/>
  <c r="AV91" i="280"/>
  <c r="AU91" i="280"/>
  <c r="AT91" i="280"/>
  <c r="AZ90" i="280"/>
  <c r="AY90" i="280"/>
  <c r="AX90" i="280"/>
  <c r="AW90" i="280"/>
  <c r="AV90" i="280"/>
  <c r="AU90" i="280"/>
  <c r="AT90" i="280"/>
  <c r="AZ89" i="280"/>
  <c r="AY89" i="280"/>
  <c r="AX89" i="280"/>
  <c r="AW89" i="280"/>
  <c r="AV89" i="280"/>
  <c r="AU89" i="280"/>
  <c r="AT89" i="280"/>
  <c r="BX109" i="280"/>
  <c r="BX108" i="280"/>
  <c r="BX107" i="280"/>
  <c r="BX106" i="280"/>
  <c r="BX105" i="280"/>
  <c r="BX104" i="280"/>
  <c r="BX103" i="280"/>
  <c r="BX102" i="280"/>
  <c r="BX101" i="280"/>
  <c r="BX100" i="280"/>
  <c r="BX98" i="280"/>
  <c r="BX97" i="280"/>
  <c r="BX96" i="280"/>
  <c r="BX95" i="280"/>
  <c r="BX94" i="280"/>
  <c r="BX93" i="280"/>
  <c r="BX92" i="280"/>
  <c r="BX91" i="280"/>
  <c r="BX90" i="280"/>
  <c r="BX89" i="280"/>
  <c r="BW120" i="280"/>
  <c r="BW119" i="280"/>
  <c r="BW118" i="280"/>
  <c r="BW117" i="280"/>
  <c r="BW116" i="280"/>
  <c r="BW115" i="280"/>
  <c r="BW114" i="280"/>
  <c r="BW113" i="280"/>
  <c r="BW112" i="280"/>
  <c r="BW111" i="280"/>
  <c r="BW109" i="280"/>
  <c r="BW108" i="280"/>
  <c r="BW107" i="280"/>
  <c r="BW106" i="280"/>
  <c r="BW105" i="280"/>
  <c r="BW104" i="280"/>
  <c r="BW103" i="280"/>
  <c r="BW102" i="280"/>
  <c r="BW101" i="280"/>
  <c r="BW100" i="280"/>
  <c r="BW98" i="280"/>
  <c r="BW97" i="280"/>
  <c r="BW96" i="280"/>
  <c r="BW95" i="280"/>
  <c r="BW94" i="280"/>
  <c r="BW93" i="280"/>
  <c r="BW92" i="280"/>
  <c r="BW91" i="280"/>
  <c r="BW90" i="280"/>
  <c r="BW89" i="280"/>
  <c r="C73" i="290"/>
  <c r="C74" i="290"/>
  <c r="BV36" i="280"/>
  <c r="BU36" i="280"/>
  <c r="DA33" i="280"/>
  <c r="AM36" i="280" s="1"/>
  <c r="CZ33" i="280"/>
  <c r="AN36" i="280" s="1"/>
  <c r="CA101" i="280" l="1"/>
  <c r="CA103" i="280"/>
  <c r="CA105" i="280"/>
  <c r="CA107" i="280"/>
  <c r="CA109" i="280"/>
  <c r="CA112" i="280"/>
  <c r="CA114" i="280"/>
  <c r="CA116" i="280"/>
  <c r="CA118" i="280"/>
  <c r="CA120" i="280"/>
  <c r="AB36" i="280"/>
  <c r="AC36" i="280"/>
  <c r="AS89" i="280"/>
  <c r="AS91" i="280"/>
  <c r="AS93" i="280"/>
  <c r="AS95" i="280"/>
  <c r="AS97" i="280"/>
  <c r="AS100" i="280"/>
  <c r="AS102" i="280"/>
  <c r="AS104" i="280"/>
  <c r="AS106" i="280"/>
  <c r="AS108" i="280"/>
  <c r="AS111" i="280"/>
  <c r="AS113" i="280"/>
  <c r="AS115" i="280"/>
  <c r="AS117" i="280"/>
  <c r="AS119" i="280"/>
  <c r="AS90" i="280"/>
  <c r="AS92" i="280"/>
  <c r="AS94" i="280"/>
  <c r="AS96" i="280"/>
  <c r="AS98" i="280"/>
  <c r="AS101" i="280"/>
  <c r="AS103" i="280"/>
  <c r="AS105" i="280"/>
  <c r="AS107" i="280"/>
  <c r="AS109" i="280"/>
  <c r="AS112" i="280"/>
  <c r="AS114" i="280"/>
  <c r="AS116" i="280"/>
  <c r="AS118" i="280"/>
  <c r="AS120" i="280"/>
  <c r="CA89" i="280"/>
  <c r="BV89" i="280" s="1"/>
  <c r="CA97" i="280"/>
  <c r="CA93" i="280"/>
  <c r="BV93" i="280" s="1"/>
  <c r="C36" i="280"/>
  <c r="AB84" i="280"/>
  <c r="C84" i="280" s="1"/>
  <c r="B82" i="280"/>
  <c r="B84" i="280"/>
  <c r="BU142" i="280"/>
  <c r="BU141" i="280"/>
  <c r="BU139" i="280"/>
  <c r="BU137" i="280"/>
  <c r="BU135" i="280"/>
  <c r="BU134" i="280"/>
  <c r="BU133" i="280"/>
  <c r="BU132" i="280"/>
  <c r="BU131" i="280"/>
  <c r="BV131" i="280"/>
  <c r="BV132" i="280"/>
  <c r="BV133" i="280"/>
  <c r="BV134" i="280"/>
  <c r="BV137" i="280"/>
  <c r="BV142" i="280"/>
  <c r="BV112" i="280"/>
  <c r="BV113" i="280"/>
  <c r="BV114" i="280"/>
  <c r="BV115" i="280"/>
  <c r="BV116" i="280"/>
  <c r="BV117" i="280"/>
  <c r="BV118" i="280"/>
  <c r="BV119" i="280"/>
  <c r="BV120" i="280"/>
  <c r="BV111" i="280"/>
  <c r="BV101" i="280"/>
  <c r="BV102" i="280"/>
  <c r="BV103" i="280"/>
  <c r="BV104" i="280"/>
  <c r="BV105" i="280"/>
  <c r="BV106" i="280"/>
  <c r="BV107" i="280"/>
  <c r="BV108" i="280"/>
  <c r="BV109" i="280"/>
  <c r="BV100" i="280"/>
  <c r="BU126" i="280"/>
  <c r="BU124" i="280"/>
  <c r="BU122" i="280"/>
  <c r="BU120" i="280"/>
  <c r="BU119" i="280"/>
  <c r="BU118" i="280"/>
  <c r="BU117" i="280"/>
  <c r="BU116" i="280"/>
  <c r="BU115" i="280"/>
  <c r="BU114" i="280"/>
  <c r="BU113" i="280"/>
  <c r="BU112" i="280"/>
  <c r="BU111" i="280"/>
  <c r="BU109" i="280"/>
  <c r="BU108" i="280"/>
  <c r="BU107" i="280"/>
  <c r="BU106" i="280"/>
  <c r="BU105" i="280"/>
  <c r="BU104" i="280"/>
  <c r="BU103" i="280"/>
  <c r="BU102" i="280"/>
  <c r="BU101" i="280"/>
  <c r="BU100" i="280"/>
  <c r="BU98" i="280"/>
  <c r="BU97" i="280"/>
  <c r="BU96" i="280"/>
  <c r="BU95" i="280"/>
  <c r="BU94" i="280"/>
  <c r="BU93" i="280"/>
  <c r="BU92" i="280"/>
  <c r="BU91" i="280"/>
  <c r="BU90" i="280"/>
  <c r="BU89" i="280"/>
  <c r="BV97" i="280" l="1"/>
  <c r="CA91" i="280"/>
  <c r="BV91" i="280" s="1"/>
  <c r="CA95" i="280"/>
  <c r="CA90" i="280"/>
  <c r="BV90" i="280" s="1"/>
  <c r="CA94" i="280"/>
  <c r="BV94" i="280" s="1"/>
  <c r="CA98" i="280"/>
  <c r="CA92" i="280"/>
  <c r="BV92" i="280" s="1"/>
  <c r="CA96" i="280"/>
  <c r="D84" i="280"/>
  <c r="BU82" i="280"/>
  <c r="BX81" i="280"/>
  <c r="BW81" i="280"/>
  <c r="BV81" i="280"/>
  <c r="BU81" i="280"/>
  <c r="BV80" i="280"/>
  <c r="BU80" i="280"/>
  <c r="BU79" i="280"/>
  <c r="BU78" i="280"/>
  <c r="BX77" i="280"/>
  <c r="BW77" i="280"/>
  <c r="BV77" i="280"/>
  <c r="BU77" i="280"/>
  <c r="BX76" i="280"/>
  <c r="BW76" i="280"/>
  <c r="BV76" i="280"/>
  <c r="BU76" i="280"/>
  <c r="BX75" i="280"/>
  <c r="BW75" i="280"/>
  <c r="BV75" i="280"/>
  <c r="BU75" i="280"/>
  <c r="BX74" i="280"/>
  <c r="BW74" i="280"/>
  <c r="BV74" i="280"/>
  <c r="BU74" i="280"/>
  <c r="BX73" i="280"/>
  <c r="BW73" i="280"/>
  <c r="BV73" i="280"/>
  <c r="BU73" i="280"/>
  <c r="BX72" i="280"/>
  <c r="BW72" i="280"/>
  <c r="BV72" i="280"/>
  <c r="BU72" i="280"/>
  <c r="BX71" i="280"/>
  <c r="BW71" i="280"/>
  <c r="BV71" i="280"/>
  <c r="BU71" i="280"/>
  <c r="BX70" i="280"/>
  <c r="BW70" i="280"/>
  <c r="BV70" i="280"/>
  <c r="BU70" i="280"/>
  <c r="BX69" i="280"/>
  <c r="BW69" i="280"/>
  <c r="BV69" i="280"/>
  <c r="BU69" i="280"/>
  <c r="BX68" i="280"/>
  <c r="BW68" i="280"/>
  <c r="BV68" i="280"/>
  <c r="BU68" i="280"/>
  <c r="BX67" i="280"/>
  <c r="BW67" i="280"/>
  <c r="BV67" i="280"/>
  <c r="BU67" i="280"/>
  <c r="BX66" i="280"/>
  <c r="BW66" i="280"/>
  <c r="BV66" i="280"/>
  <c r="BU66" i="280"/>
  <c r="BX65" i="280"/>
  <c r="BW65" i="280"/>
  <c r="BV65" i="280"/>
  <c r="BU65" i="280"/>
  <c r="BX64" i="280"/>
  <c r="BW64" i="280"/>
  <c r="BV64" i="280"/>
  <c r="BU64" i="280"/>
  <c r="BX63" i="280"/>
  <c r="BW63" i="280"/>
  <c r="BV63" i="280"/>
  <c r="BU63" i="280"/>
  <c r="BV95" i="280" l="1"/>
  <c r="BV96" i="280"/>
  <c r="BV98" i="280"/>
  <c r="BW20" i="280"/>
  <c r="BW21" i="280"/>
  <c r="BY56" i="280"/>
  <c r="AF56" i="280" s="1"/>
  <c r="C56" i="280" s="1"/>
  <c r="BY42" i="280"/>
  <c r="AF42" i="280" s="1"/>
  <c r="C42" i="280" s="1"/>
  <c r="BY43" i="280"/>
  <c r="AF43" i="280" s="1"/>
  <c r="C43" i="280" s="1"/>
  <c r="BY44" i="280"/>
  <c r="AF44" i="280" s="1"/>
  <c r="C44" i="280" s="1"/>
  <c r="BY45" i="280"/>
  <c r="AF45" i="280" s="1"/>
  <c r="C45" i="280" s="1"/>
  <c r="BY46" i="280"/>
  <c r="AF46" i="280" s="1"/>
  <c r="C46" i="280" s="1"/>
  <c r="BY47" i="280"/>
  <c r="AF47" i="280" s="1"/>
  <c r="C47" i="280" s="1"/>
  <c r="BY48" i="280"/>
  <c r="AF48" i="280" s="1"/>
  <c r="C48" i="280" s="1"/>
  <c r="BY49" i="280"/>
  <c r="AF49" i="280" s="1"/>
  <c r="C49" i="280" s="1"/>
  <c r="BY50" i="280"/>
  <c r="AF50" i="280" s="1"/>
  <c r="C50" i="280" s="1"/>
  <c r="BY51" i="280"/>
  <c r="AF51" i="280" s="1"/>
  <c r="C51" i="280" s="1"/>
  <c r="BY52" i="280"/>
  <c r="BY53" i="280"/>
  <c r="AF53" i="280" s="1"/>
  <c r="C53" i="280" s="1"/>
  <c r="BY54" i="280"/>
  <c r="AF54" i="280" s="1"/>
  <c r="C54" i="280" s="1"/>
  <c r="BY39" i="280"/>
  <c r="BY40" i="280"/>
  <c r="AF40" i="280" s="1"/>
  <c r="C40" i="280" s="1"/>
  <c r="AF39" i="280"/>
  <c r="C39" i="280" s="1"/>
  <c r="BU59" i="280"/>
  <c r="BU58" i="280"/>
  <c r="AF52" i="280"/>
  <c r="C52" i="280" s="1"/>
  <c r="BX28" i="280"/>
  <c r="BX29" i="280"/>
  <c r="BX30" i="280"/>
  <c r="BW30" i="280"/>
  <c r="BV30" i="280"/>
  <c r="BV29" i="280"/>
  <c r="BV28" i="280"/>
  <c r="BU33" i="280"/>
  <c r="BU32" i="280"/>
  <c r="BU31" i="280"/>
  <c r="BU30" i="280"/>
  <c r="BU29" i="280"/>
  <c r="BU28" i="280"/>
  <c r="BU27" i="280"/>
  <c r="DA20" i="280"/>
  <c r="DA8" i="280"/>
  <c r="AM21" i="280" s="1"/>
  <c r="BW22" i="280"/>
  <c r="BW17" i="280"/>
  <c r="BX16" i="280"/>
  <c r="BW16" i="280"/>
  <c r="BZ10" i="280"/>
  <c r="BY10" i="280"/>
  <c r="BX10" i="280"/>
  <c r="BV22" i="280"/>
  <c r="BV21" i="280"/>
  <c r="BV20" i="280"/>
  <c r="BV19" i="280"/>
  <c r="BV18" i="280"/>
  <c r="BV17" i="280"/>
  <c r="BV16" i="280"/>
  <c r="BV15" i="280"/>
  <c r="BV14" i="280"/>
  <c r="BV13" i="280"/>
  <c r="BV12" i="280"/>
  <c r="BV8" i="280"/>
  <c r="BU22" i="280"/>
  <c r="BU21" i="280"/>
  <c r="BU20" i="280"/>
  <c r="BU19" i="280"/>
  <c r="BU18" i="280"/>
  <c r="BU17" i="280"/>
  <c r="BU16" i="280"/>
  <c r="BU15" i="280"/>
  <c r="BU14" i="280"/>
  <c r="BU13" i="280"/>
  <c r="BU12" i="280"/>
  <c r="BU10" i="280"/>
  <c r="BU8" i="280"/>
  <c r="AM16" i="280" l="1"/>
  <c r="AB16" i="280" s="1"/>
  <c r="AM12" i="280"/>
  <c r="AB12" i="280" s="1"/>
  <c r="AM20" i="280"/>
  <c r="AB20" i="280" s="1"/>
  <c r="AM8" i="280"/>
  <c r="AB8" i="280" s="1"/>
  <c r="AM14" i="280"/>
  <c r="AB14" i="280" s="1"/>
  <c r="AM18" i="280"/>
  <c r="AB18" i="280" s="1"/>
  <c r="AM22" i="280"/>
  <c r="AB22" i="280" s="1"/>
  <c r="AB21" i="280"/>
  <c r="AM10" i="280"/>
  <c r="AB10" i="280" s="1"/>
  <c r="AM13" i="280"/>
  <c r="AB13" i="280" s="1"/>
  <c r="AM15" i="280"/>
  <c r="AB15" i="280" s="1"/>
  <c r="AM17" i="280"/>
  <c r="AB17" i="280" s="1"/>
  <c r="AM19" i="280"/>
  <c r="AB19" i="280" s="1"/>
  <c r="B40" i="280"/>
  <c r="D40" i="280" s="1"/>
  <c r="B41" i="280"/>
  <c r="B42" i="280"/>
  <c r="D42" i="280" s="1"/>
  <c r="B43" i="280"/>
  <c r="B44" i="280"/>
  <c r="B45" i="280"/>
  <c r="B46" i="280"/>
  <c r="B47" i="280"/>
  <c r="B48" i="280"/>
  <c r="B49" i="280"/>
  <c r="B50" i="280"/>
  <c r="B51" i="280"/>
  <c r="D51" i="280" s="1"/>
  <c r="B52" i="280"/>
  <c r="B53" i="280"/>
  <c r="B54" i="280"/>
  <c r="B55" i="280"/>
  <c r="B56" i="280"/>
  <c r="B57" i="280"/>
  <c r="B58" i="280"/>
  <c r="B59" i="280"/>
  <c r="B33" i="280"/>
  <c r="B36" i="280"/>
  <c r="B39" i="280"/>
  <c r="D39" i="280" s="1"/>
  <c r="G6" i="292" l="1"/>
  <c r="H6" i="292"/>
  <c r="A3" i="290" l="1"/>
  <c r="CZ147" i="280" l="1"/>
  <c r="AM147" i="280" l="1"/>
  <c r="AB147" i="280" s="1"/>
  <c r="C147" i="280" s="1"/>
  <c r="C18" i="290" l="1"/>
  <c r="Q15" i="280" l="1"/>
  <c r="R15" i="280"/>
  <c r="B14" i="280"/>
  <c r="B15" i="280"/>
  <c r="CZ126" i="280" l="1"/>
  <c r="AM126" i="280" s="1"/>
  <c r="AB126" i="280" s="1"/>
  <c r="C126" i="280" s="1"/>
  <c r="F92" i="290"/>
  <c r="C19" i="290"/>
  <c r="D19" i="290" s="1"/>
  <c r="C20" i="290"/>
  <c r="D20" i="290" s="1"/>
  <c r="C22" i="290"/>
  <c r="D22" i="290" s="1"/>
  <c r="K78" i="291" l="1"/>
  <c r="F8" i="291" s="1"/>
  <c r="C29" i="290" s="1"/>
  <c r="D29" i="290" s="1"/>
  <c r="K12" i="291"/>
  <c r="B23" i="280"/>
  <c r="D23" i="280" s="1"/>
  <c r="B12" i="290" s="1"/>
  <c r="B24" i="280"/>
  <c r="C24" i="280" s="1"/>
  <c r="D24" i="280" l="1"/>
  <c r="F24" i="280"/>
  <c r="O24" i="299" s="1"/>
  <c r="B8" i="280" l="1"/>
  <c r="B9" i="280"/>
  <c r="B10" i="280"/>
  <c r="B12" i="280"/>
  <c r="B13" i="280"/>
  <c r="B16" i="280"/>
  <c r="B17" i="280"/>
  <c r="B18" i="280"/>
  <c r="B19" i="280"/>
  <c r="B20" i="280"/>
  <c r="B21" i="280"/>
  <c r="B22" i="280"/>
  <c r="B26" i="280"/>
  <c r="B27" i="280"/>
  <c r="B30" i="280"/>
  <c r="B29" i="280"/>
  <c r="B28" i="280"/>
  <c r="B31" i="280"/>
  <c r="B32" i="280"/>
  <c r="B62" i="280"/>
  <c r="B63" i="280"/>
  <c r="B64" i="280"/>
  <c r="B65" i="280"/>
  <c r="B66" i="280"/>
  <c r="B67" i="280"/>
  <c r="B68" i="280"/>
  <c r="B69" i="280"/>
  <c r="B70" i="280"/>
  <c r="B71" i="280"/>
  <c r="B72" i="280"/>
  <c r="B73" i="280"/>
  <c r="B74" i="280"/>
  <c r="B75" i="280"/>
  <c r="B76" i="280"/>
  <c r="B77" i="280"/>
  <c r="B78" i="280"/>
  <c r="B79" i="280"/>
  <c r="B80" i="280"/>
  <c r="B81" i="280"/>
  <c r="B87" i="280"/>
  <c r="B88" i="280"/>
  <c r="B89" i="280"/>
  <c r="B90" i="280"/>
  <c r="B91" i="280"/>
  <c r="B92" i="280"/>
  <c r="B93" i="280"/>
  <c r="B94" i="280"/>
  <c r="B95" i="280"/>
  <c r="B96" i="280"/>
  <c r="B97" i="280"/>
  <c r="B98" i="280"/>
  <c r="B99" i="280"/>
  <c r="B100" i="280"/>
  <c r="B101" i="280"/>
  <c r="B102" i="280"/>
  <c r="B103" i="280"/>
  <c r="B104" i="280"/>
  <c r="B105" i="280"/>
  <c r="B106" i="280"/>
  <c r="B107" i="280"/>
  <c r="B108" i="280"/>
  <c r="B109" i="280"/>
  <c r="B110" i="280"/>
  <c r="B111" i="280"/>
  <c r="B112" i="280"/>
  <c r="B113" i="280"/>
  <c r="B114" i="280"/>
  <c r="B115" i="280"/>
  <c r="B116" i="280"/>
  <c r="B117" i="280"/>
  <c r="B118" i="280"/>
  <c r="B119" i="280"/>
  <c r="B120" i="280"/>
  <c r="B122" i="280"/>
  <c r="B124" i="280"/>
  <c r="B126" i="280"/>
  <c r="B128" i="280"/>
  <c r="B129" i="280"/>
  <c r="B130" i="280"/>
  <c r="B131" i="280"/>
  <c r="B132" i="280"/>
  <c r="B133" i="280"/>
  <c r="B134" i="280"/>
  <c r="B135" i="280"/>
  <c r="B136" i="280"/>
  <c r="B137" i="280"/>
  <c r="B138" i="280"/>
  <c r="B139" i="280"/>
  <c r="B140" i="280"/>
  <c r="B141" i="280"/>
  <c r="B142" i="280"/>
  <c r="B145" i="280"/>
  <c r="B147" i="280"/>
  <c r="DA28" i="280" l="1"/>
  <c r="CZ28" i="280"/>
  <c r="AM59" i="280" l="1"/>
  <c r="AB59" i="280" s="1"/>
  <c r="C59" i="280" s="1"/>
  <c r="AM33" i="280"/>
  <c r="AB33" i="280" s="1"/>
  <c r="C33" i="280" s="1"/>
  <c r="AM31" i="280"/>
  <c r="AB31" i="280" s="1"/>
  <c r="C31" i="280" s="1"/>
  <c r="AM29" i="280"/>
  <c r="AB29" i="280" s="1"/>
  <c r="AM27" i="280"/>
  <c r="AB27" i="280" s="1"/>
  <c r="C27" i="280" s="1"/>
  <c r="AM58" i="280"/>
  <c r="AB58" i="280" s="1"/>
  <c r="C58" i="280" s="1"/>
  <c r="AM32" i="280"/>
  <c r="AB32" i="280" s="1"/>
  <c r="C32" i="280" s="1"/>
  <c r="AM30" i="280"/>
  <c r="AB30" i="280" s="1"/>
  <c r="AM28" i="280"/>
  <c r="AB28" i="280" s="1"/>
  <c r="AN29" i="280"/>
  <c r="AC29" i="280" s="1"/>
  <c r="AN30" i="280"/>
  <c r="AC30" i="280" s="1"/>
  <c r="AN28" i="280"/>
  <c r="AC28" i="280" s="1"/>
  <c r="DC8" i="280"/>
  <c r="AR10" i="280" s="1"/>
  <c r="AG10" i="280" s="1"/>
  <c r="CZ8" i="280"/>
  <c r="AN22" i="280" l="1"/>
  <c r="AC22" i="280" s="1"/>
  <c r="AN20" i="280"/>
  <c r="AC20" i="280" s="1"/>
  <c r="AN18" i="280"/>
  <c r="AC18" i="280" s="1"/>
  <c r="C18" i="280" s="1"/>
  <c r="AN16" i="280"/>
  <c r="AC16" i="280" s="1"/>
  <c r="AN14" i="280"/>
  <c r="AC14" i="280" s="1"/>
  <c r="C14" i="280" s="1"/>
  <c r="D14" i="280" s="1"/>
  <c r="AN12" i="280"/>
  <c r="AC12" i="280" s="1"/>
  <c r="C12" i="280" s="1"/>
  <c r="AN21" i="280"/>
  <c r="AC21" i="280" s="1"/>
  <c r="AN17" i="280"/>
  <c r="AC17" i="280" s="1"/>
  <c r="AN13" i="280"/>
  <c r="AC13" i="280" s="1"/>
  <c r="C13" i="280" s="1"/>
  <c r="AN19" i="280"/>
  <c r="AC19" i="280" s="1"/>
  <c r="C19" i="280" s="1"/>
  <c r="AN15" i="280"/>
  <c r="AC15" i="280" s="1"/>
  <c r="AN8" i="280"/>
  <c r="AC8" i="280" s="1"/>
  <c r="C15" i="280"/>
  <c r="DA132" i="280"/>
  <c r="AM131" i="280" s="1"/>
  <c r="AB131" i="280" s="1"/>
  <c r="CZ132" i="280"/>
  <c r="AN134" i="280" s="1"/>
  <c r="DA90" i="280"/>
  <c r="CZ90" i="280"/>
  <c r="DA64" i="280"/>
  <c r="CZ64" i="280"/>
  <c r="AM124" i="280" l="1"/>
  <c r="AB124" i="280" s="1"/>
  <c r="C124" i="280" s="1"/>
  <c r="AN89" i="280"/>
  <c r="AM122" i="280"/>
  <c r="AB122" i="280" s="1"/>
  <c r="C122" i="280" s="1"/>
  <c r="AM89" i="280"/>
  <c r="C8" i="280"/>
  <c r="D36" i="280"/>
  <c r="AM142" i="280"/>
  <c r="AB142" i="280" s="1"/>
  <c r="AM139" i="280"/>
  <c r="AB139" i="280" s="1"/>
  <c r="AM135" i="280"/>
  <c r="AB135" i="280" s="1"/>
  <c r="C135" i="280" s="1"/>
  <c r="AM133" i="280"/>
  <c r="AB133" i="280" s="1"/>
  <c r="AM141" i="280"/>
  <c r="AB141" i="280" s="1"/>
  <c r="AM137" i="280"/>
  <c r="AB137" i="280" s="1"/>
  <c r="AM134" i="280"/>
  <c r="AB134" i="280" s="1"/>
  <c r="AM132" i="280"/>
  <c r="AB132" i="280" s="1"/>
  <c r="AN142" i="280"/>
  <c r="AC142" i="280" s="1"/>
  <c r="AN137" i="280"/>
  <c r="AC137" i="280" s="1"/>
  <c r="AN133" i="280"/>
  <c r="AC133" i="280" s="1"/>
  <c r="AN131" i="280"/>
  <c r="AC131" i="280" s="1"/>
  <c r="AN141" i="280"/>
  <c r="AC141" i="280" s="1"/>
  <c r="C141" i="280" s="1"/>
  <c r="AC134" i="280"/>
  <c r="AN132" i="280"/>
  <c r="AC132" i="280" s="1"/>
  <c r="AM120" i="280"/>
  <c r="AB120" i="280" s="1"/>
  <c r="AM118" i="280"/>
  <c r="AB118" i="280" s="1"/>
  <c r="AM116" i="280"/>
  <c r="AB116" i="280" s="1"/>
  <c r="AM114" i="280"/>
  <c r="AB114" i="280" s="1"/>
  <c r="AM112" i="280"/>
  <c r="AB112" i="280" s="1"/>
  <c r="AM109" i="280"/>
  <c r="AB109" i="280" s="1"/>
  <c r="AM107" i="280"/>
  <c r="AB107" i="280" s="1"/>
  <c r="AM105" i="280"/>
  <c r="AB105" i="280" s="1"/>
  <c r="AM103" i="280"/>
  <c r="AB103" i="280" s="1"/>
  <c r="AM101" i="280"/>
  <c r="AB101" i="280" s="1"/>
  <c r="AM98" i="280"/>
  <c r="AB98" i="280" s="1"/>
  <c r="AM96" i="280"/>
  <c r="AB96" i="280" s="1"/>
  <c r="AM94" i="280"/>
  <c r="AB94" i="280" s="1"/>
  <c r="AM92" i="280"/>
  <c r="AB92" i="280" s="1"/>
  <c r="AM90" i="280"/>
  <c r="AB90" i="280" s="1"/>
  <c r="AM117" i="280"/>
  <c r="AB117" i="280" s="1"/>
  <c r="AM113" i="280"/>
  <c r="AB113" i="280" s="1"/>
  <c r="AM108" i="280"/>
  <c r="AB108" i="280" s="1"/>
  <c r="AM104" i="280"/>
  <c r="AB104" i="280" s="1"/>
  <c r="AM100" i="280"/>
  <c r="AB100" i="280" s="1"/>
  <c r="AM95" i="280"/>
  <c r="AB95" i="280" s="1"/>
  <c r="AM91" i="280"/>
  <c r="AB91" i="280" s="1"/>
  <c r="AB89" i="280"/>
  <c r="AM119" i="280"/>
  <c r="AB119" i="280" s="1"/>
  <c r="AM115" i="280"/>
  <c r="AB115" i="280" s="1"/>
  <c r="AM111" i="280"/>
  <c r="AB111" i="280" s="1"/>
  <c r="AM106" i="280"/>
  <c r="AB106" i="280" s="1"/>
  <c r="AM102" i="280"/>
  <c r="AB102" i="280" s="1"/>
  <c r="AM97" i="280"/>
  <c r="AB97" i="280" s="1"/>
  <c r="AM93" i="280"/>
  <c r="AB93" i="280" s="1"/>
  <c r="AN81" i="280"/>
  <c r="AC81" i="280" s="1"/>
  <c r="AN80" i="280"/>
  <c r="AC80" i="280" s="1"/>
  <c r="AN77" i="280"/>
  <c r="AC77" i="280" s="1"/>
  <c r="AN76" i="280"/>
  <c r="AC76" i="280" s="1"/>
  <c r="AN75" i="280"/>
  <c r="AC75" i="280" s="1"/>
  <c r="AN74" i="280"/>
  <c r="AC74" i="280" s="1"/>
  <c r="AN73" i="280"/>
  <c r="AC73" i="280" s="1"/>
  <c r="AN72" i="280"/>
  <c r="AC72" i="280" s="1"/>
  <c r="AN71" i="280"/>
  <c r="AC71" i="280" s="1"/>
  <c r="AN70" i="280"/>
  <c r="AC70" i="280" s="1"/>
  <c r="AN69" i="280"/>
  <c r="AC69" i="280" s="1"/>
  <c r="AN68" i="280"/>
  <c r="AC68" i="280" s="1"/>
  <c r="AN67" i="280"/>
  <c r="AC67" i="280" s="1"/>
  <c r="AN66" i="280"/>
  <c r="AC66" i="280" s="1"/>
  <c r="AN65" i="280"/>
  <c r="AC65" i="280" s="1"/>
  <c r="AN64" i="280"/>
  <c r="AC64" i="280" s="1"/>
  <c r="AN63" i="280"/>
  <c r="AC63" i="280" s="1"/>
  <c r="AM82" i="280"/>
  <c r="AB82" i="280" s="1"/>
  <c r="C82" i="280" s="1"/>
  <c r="AM81" i="280"/>
  <c r="AB81" i="280" s="1"/>
  <c r="AM80" i="280"/>
  <c r="AB80" i="280" s="1"/>
  <c r="AM78" i="280"/>
  <c r="AB78" i="280" s="1"/>
  <c r="C78" i="280" s="1"/>
  <c r="AM77" i="280"/>
  <c r="AB77" i="280" s="1"/>
  <c r="AM76" i="280"/>
  <c r="AB76" i="280" s="1"/>
  <c r="AM75" i="280"/>
  <c r="AB75" i="280" s="1"/>
  <c r="AM74" i="280"/>
  <c r="AB74" i="280" s="1"/>
  <c r="AM73" i="280"/>
  <c r="AB73" i="280" s="1"/>
  <c r="AM72" i="280"/>
  <c r="AB72" i="280" s="1"/>
  <c r="AM71" i="280"/>
  <c r="AB71" i="280" s="1"/>
  <c r="AM70" i="280"/>
  <c r="AB70" i="280" s="1"/>
  <c r="AM69" i="280"/>
  <c r="AB69" i="280" s="1"/>
  <c r="AM68" i="280"/>
  <c r="AB68" i="280" s="1"/>
  <c r="AM67" i="280"/>
  <c r="AB67" i="280" s="1"/>
  <c r="AM66" i="280"/>
  <c r="AB66" i="280" s="1"/>
  <c r="AM65" i="280"/>
  <c r="AB65" i="280" s="1"/>
  <c r="AM64" i="280"/>
  <c r="AB64" i="280" s="1"/>
  <c r="AM63" i="280"/>
  <c r="AB63" i="280" s="1"/>
  <c r="AM79" i="280"/>
  <c r="AB79" i="280" s="1"/>
  <c r="C79" i="280" s="1"/>
  <c r="C80" i="280" l="1"/>
  <c r="C133" i="280"/>
  <c r="C142" i="280"/>
  <c r="F5" i="280"/>
  <c r="DB8" i="280" l="1"/>
  <c r="AQ10" i="280" s="1"/>
  <c r="AF10" i="280" s="1"/>
  <c r="C21" i="290"/>
  <c r="D21" i="290" s="1"/>
  <c r="A5" i="297" l="1"/>
  <c r="A2" i="280"/>
  <c r="C8" i="291"/>
  <c r="B6" i="280" l="1"/>
  <c r="B7" i="280"/>
  <c r="F12" i="290"/>
  <c r="B5" i="280"/>
  <c r="C5" i="280"/>
  <c r="G10" i="292"/>
  <c r="C28" i="290" s="1"/>
  <c r="D28" i="290" s="1"/>
  <c r="H8" i="292"/>
  <c r="C27" i="290" s="1"/>
  <c r="D27" i="290" s="1"/>
  <c r="G8" i="292"/>
  <c r="C26" i="290" s="1"/>
  <c r="D26" i="290" s="1"/>
  <c r="G7" i="292"/>
  <c r="C25" i="290" s="1"/>
  <c r="D25" i="290" s="1"/>
  <c r="L7" i="292" l="1"/>
  <c r="L9" i="292"/>
  <c r="L10" i="292"/>
  <c r="C34" i="290" l="1"/>
  <c r="C43" i="290" s="1"/>
  <c r="C54" i="290" s="1"/>
  <c r="C61" i="290" l="1"/>
  <c r="C68" i="290" s="1"/>
  <c r="C77" i="290" s="1"/>
  <c r="DD21" i="280"/>
  <c r="K10" i="292"/>
  <c r="F99" i="290" s="1"/>
  <c r="I99" i="290" s="1"/>
  <c r="DF24" i="280"/>
  <c r="C23" i="290"/>
  <c r="D23" i="290" s="1"/>
  <c r="DF20" i="280"/>
  <c r="DG20" i="280"/>
  <c r="G9" i="292"/>
  <c r="DF23" i="280"/>
  <c r="DF21" i="280"/>
  <c r="DB20" i="280"/>
  <c r="DC20" i="280"/>
  <c r="CZ20" i="280"/>
  <c r="CZ21" i="280"/>
  <c r="CZ22" i="280"/>
  <c r="DA22" i="280"/>
  <c r="CZ24" i="280"/>
  <c r="D73" i="290"/>
  <c r="E8" i="291"/>
  <c r="DC28" i="280" s="1"/>
  <c r="AO30" i="280" s="1"/>
  <c r="AD30" i="280" s="1"/>
  <c r="AN93" i="280" l="1"/>
  <c r="AC93" i="280" s="1"/>
  <c r="AO20" i="280"/>
  <c r="AD20" i="280" s="1"/>
  <c r="C20" i="280" s="1"/>
  <c r="L6" i="292"/>
  <c r="G95" i="290" s="1"/>
  <c r="J95" i="290" s="1"/>
  <c r="C24" i="290"/>
  <c r="D24" i="290" s="1"/>
  <c r="C58" i="290"/>
  <c r="C65" i="290" s="1"/>
  <c r="C72" i="290" s="1"/>
  <c r="D72" i="290" s="1"/>
  <c r="DC64" i="280"/>
  <c r="DC132" i="280"/>
  <c r="DC90" i="280"/>
  <c r="DB28" i="280"/>
  <c r="DD24" i="280"/>
  <c r="C51" i="290"/>
  <c r="D51" i="290" s="1"/>
  <c r="C49" i="290"/>
  <c r="D49" i="290" s="1"/>
  <c r="K8" i="292"/>
  <c r="F97" i="290" s="1"/>
  <c r="I97" i="290" s="1"/>
  <c r="DE22" i="280"/>
  <c r="AP16" i="280" s="1"/>
  <c r="AE16" i="280" s="1"/>
  <c r="L8" i="292"/>
  <c r="G97" i="290" s="1"/>
  <c r="J97" i="290" s="1"/>
  <c r="DD20" i="280"/>
  <c r="K6" i="292"/>
  <c r="F95" i="290" s="1"/>
  <c r="I95" i="290" s="1"/>
  <c r="C48" i="290"/>
  <c r="D48" i="290" s="1"/>
  <c r="K7" i="292"/>
  <c r="F96" i="290" s="1"/>
  <c r="I96" i="290" s="1"/>
  <c r="C30" i="290"/>
  <c r="D30" i="290" s="1"/>
  <c r="C57" i="290"/>
  <c r="C64" i="290" s="1"/>
  <c r="C45" i="290"/>
  <c r="C36" i="290"/>
  <c r="D36" i="290" s="1"/>
  <c r="C50" i="290"/>
  <c r="D50" i="290" s="1"/>
  <c r="C44" i="290"/>
  <c r="CZ23" i="280"/>
  <c r="C35" i="290"/>
  <c r="D35" i="290" s="1"/>
  <c r="C38" i="290"/>
  <c r="D38" i="290" s="1"/>
  <c r="C47" i="290"/>
  <c r="D47" i="290" s="1"/>
  <c r="DE20" i="280"/>
  <c r="DD22" i="280"/>
  <c r="AP137" i="280" l="1"/>
  <c r="AE137" i="280" s="1"/>
  <c r="AP132" i="280"/>
  <c r="AP131" i="280"/>
  <c r="AE131" i="280" s="1"/>
  <c r="AP109" i="280"/>
  <c r="AE109" i="280" s="1"/>
  <c r="AP107" i="280"/>
  <c r="AE107" i="280" s="1"/>
  <c r="AP105" i="280"/>
  <c r="AE105" i="280" s="1"/>
  <c r="AP103" i="280"/>
  <c r="AE103" i="280" s="1"/>
  <c r="AP101" i="280"/>
  <c r="AE101" i="280" s="1"/>
  <c r="AP98" i="280"/>
  <c r="AE98" i="280" s="1"/>
  <c r="AP96" i="280"/>
  <c r="AE96" i="280" s="1"/>
  <c r="AP94" i="280"/>
  <c r="AE94" i="280" s="1"/>
  <c r="AP92" i="280"/>
  <c r="AE92" i="280" s="1"/>
  <c r="AP90" i="280"/>
  <c r="AE90" i="280" s="1"/>
  <c r="AP108" i="280"/>
  <c r="AP106" i="280"/>
  <c r="AE106" i="280" s="1"/>
  <c r="AP104" i="280"/>
  <c r="AE104" i="280" s="1"/>
  <c r="AP102" i="280"/>
  <c r="AE102" i="280" s="1"/>
  <c r="AP100" i="280"/>
  <c r="AE100" i="280" s="1"/>
  <c r="AP97" i="280"/>
  <c r="AE97" i="280" s="1"/>
  <c r="AP95" i="280"/>
  <c r="AE95" i="280" s="1"/>
  <c r="AP93" i="280"/>
  <c r="AE93" i="280" s="1"/>
  <c r="AP91" i="280"/>
  <c r="AE91" i="280" s="1"/>
  <c r="AP89" i="280"/>
  <c r="AE89" i="280" s="1"/>
  <c r="AE132" i="280"/>
  <c r="AN95" i="280"/>
  <c r="AC95" i="280" s="1"/>
  <c r="AN94" i="280"/>
  <c r="AC94" i="280" s="1"/>
  <c r="AN96" i="280"/>
  <c r="AC96" i="280" s="1"/>
  <c r="AN92" i="280"/>
  <c r="AC92" i="280" s="1"/>
  <c r="AN97" i="280"/>
  <c r="AC97" i="280" s="1"/>
  <c r="AN90" i="280"/>
  <c r="AC90" i="280" s="1"/>
  <c r="AN91" i="280"/>
  <c r="AC91" i="280" s="1"/>
  <c r="AE108" i="280"/>
  <c r="AN98" i="280"/>
  <c r="AC98" i="280" s="1"/>
  <c r="AC89" i="280"/>
  <c r="AP29" i="280"/>
  <c r="AE29" i="280" s="1"/>
  <c r="C29" i="280" s="1"/>
  <c r="AP28" i="280"/>
  <c r="AE28" i="280" s="1"/>
  <c r="C28" i="280" s="1"/>
  <c r="AP30" i="280"/>
  <c r="AE30" i="280" s="1"/>
  <c r="C30" i="280" s="1"/>
  <c r="AO16" i="280"/>
  <c r="AD16" i="280" s="1"/>
  <c r="C16" i="280" s="1"/>
  <c r="AP10" i="280"/>
  <c r="AE10" i="280" s="1"/>
  <c r="C10" i="280" s="1"/>
  <c r="AO17" i="280"/>
  <c r="AD17" i="280" s="1"/>
  <c r="C17" i="280" s="1"/>
  <c r="AP81" i="280"/>
  <c r="AE81" i="280" s="1"/>
  <c r="AP77" i="280"/>
  <c r="AE77" i="280" s="1"/>
  <c r="AP76" i="280"/>
  <c r="AE76" i="280" s="1"/>
  <c r="AP75" i="280"/>
  <c r="AE75" i="280" s="1"/>
  <c r="AP74" i="280"/>
  <c r="AE74" i="280" s="1"/>
  <c r="AP73" i="280"/>
  <c r="AE73" i="280" s="1"/>
  <c r="AP72" i="280"/>
  <c r="AE72" i="280" s="1"/>
  <c r="AP71" i="280"/>
  <c r="AE71" i="280" s="1"/>
  <c r="AP70" i="280"/>
  <c r="AE70" i="280" s="1"/>
  <c r="AP69" i="280"/>
  <c r="AE69" i="280" s="1"/>
  <c r="AP68" i="280"/>
  <c r="AE68" i="280" s="1"/>
  <c r="AP67" i="280"/>
  <c r="AE67" i="280" s="1"/>
  <c r="AP66" i="280"/>
  <c r="AE66" i="280" s="1"/>
  <c r="AP65" i="280"/>
  <c r="AE65" i="280" s="1"/>
  <c r="AP64" i="280"/>
  <c r="AE64" i="280" s="1"/>
  <c r="AP63" i="280"/>
  <c r="AE63" i="280" s="1"/>
  <c r="D58" i="290"/>
  <c r="D57" i="290"/>
  <c r="DB132" i="280"/>
  <c r="DB90" i="280"/>
  <c r="DB64" i="280"/>
  <c r="DD23" i="280"/>
  <c r="K9" i="292"/>
  <c r="F98" i="290" s="1"/>
  <c r="I98" i="290" s="1"/>
  <c r="D65" i="290"/>
  <c r="D45" i="290"/>
  <c r="C56" i="290"/>
  <c r="C46" i="290"/>
  <c r="D46" i="290" s="1"/>
  <c r="C37" i="290"/>
  <c r="D37" i="290" s="1"/>
  <c r="C39" i="290"/>
  <c r="D39" i="290" s="1"/>
  <c r="AN108" i="280"/>
  <c r="AC108" i="280" s="1"/>
  <c r="AN101" i="280"/>
  <c r="AC101" i="280" s="1"/>
  <c r="AN105" i="280"/>
  <c r="AC105" i="280" s="1"/>
  <c r="AN103" i="280"/>
  <c r="AC103" i="280" s="1"/>
  <c r="AN106" i="280"/>
  <c r="AC106" i="280" s="1"/>
  <c r="AN107" i="280"/>
  <c r="AC107" i="280" s="1"/>
  <c r="AN109" i="280"/>
  <c r="AC109" i="280" s="1"/>
  <c r="AN100" i="280"/>
  <c r="AC100" i="280" s="1"/>
  <c r="AN104" i="280"/>
  <c r="AC104" i="280" s="1"/>
  <c r="AN102" i="280"/>
  <c r="AC102" i="280" s="1"/>
  <c r="C40" i="290"/>
  <c r="D40" i="290" s="1"/>
  <c r="D44" i="290"/>
  <c r="C55" i="290"/>
  <c r="D64" i="290"/>
  <c r="C71" i="290"/>
  <c r="D71" i="290" s="1"/>
  <c r="D8" i="280"/>
  <c r="AO137" i="280" l="1"/>
  <c r="AD137" i="280" s="1"/>
  <c r="C137" i="280" s="1"/>
  <c r="AO131" i="280"/>
  <c r="AO139" i="280"/>
  <c r="AO132" i="280"/>
  <c r="AO134" i="280"/>
  <c r="AD132" i="280"/>
  <c r="C132" i="280" s="1"/>
  <c r="AD139" i="280"/>
  <c r="C139" i="280" s="1"/>
  <c r="AD131" i="280"/>
  <c r="C131" i="280" s="1"/>
  <c r="AO119" i="280"/>
  <c r="AD119" i="280" s="1"/>
  <c r="AO117" i="280"/>
  <c r="AD117" i="280" s="1"/>
  <c r="AO115" i="280"/>
  <c r="AD115" i="280" s="1"/>
  <c r="AO113" i="280"/>
  <c r="AD113" i="280" s="1"/>
  <c r="AO111" i="280"/>
  <c r="AD111" i="280" s="1"/>
  <c r="AO108" i="280"/>
  <c r="AD108" i="280" s="1"/>
  <c r="C108" i="280" s="1"/>
  <c r="AO106" i="280"/>
  <c r="AD106" i="280" s="1"/>
  <c r="C106" i="280" s="1"/>
  <c r="AO104" i="280"/>
  <c r="AD104" i="280" s="1"/>
  <c r="C104" i="280" s="1"/>
  <c r="AO102" i="280"/>
  <c r="AD102" i="280" s="1"/>
  <c r="C102" i="280" s="1"/>
  <c r="AO100" i="280"/>
  <c r="AD100" i="280" s="1"/>
  <c r="C100" i="280" s="1"/>
  <c r="AO97" i="280"/>
  <c r="AD97" i="280" s="1"/>
  <c r="C97" i="280" s="1"/>
  <c r="AO95" i="280"/>
  <c r="AD95" i="280" s="1"/>
  <c r="C95" i="280" s="1"/>
  <c r="AO93" i="280"/>
  <c r="AD93" i="280" s="1"/>
  <c r="C93" i="280" s="1"/>
  <c r="AO91" i="280"/>
  <c r="AD91" i="280" s="1"/>
  <c r="C91" i="280" s="1"/>
  <c r="AO89" i="280"/>
  <c r="AO120" i="280"/>
  <c r="AD120" i="280" s="1"/>
  <c r="AO118" i="280"/>
  <c r="AD118" i="280" s="1"/>
  <c r="AO116" i="280"/>
  <c r="AD116" i="280" s="1"/>
  <c r="AO114" i="280"/>
  <c r="AD114" i="280" s="1"/>
  <c r="AO112" i="280"/>
  <c r="AD112" i="280" s="1"/>
  <c r="AO109" i="280"/>
  <c r="AD109" i="280" s="1"/>
  <c r="C109" i="280" s="1"/>
  <c r="AO107" i="280"/>
  <c r="AD107" i="280" s="1"/>
  <c r="C107" i="280" s="1"/>
  <c r="AO105" i="280"/>
  <c r="AD105" i="280" s="1"/>
  <c r="C105" i="280" s="1"/>
  <c r="AO103" i="280"/>
  <c r="AD103" i="280" s="1"/>
  <c r="C103" i="280" s="1"/>
  <c r="AO101" i="280"/>
  <c r="AD101" i="280" s="1"/>
  <c r="C101" i="280" s="1"/>
  <c r="AO98" i="280"/>
  <c r="AD98" i="280" s="1"/>
  <c r="C98" i="280" s="1"/>
  <c r="AO96" i="280"/>
  <c r="AD96" i="280" s="1"/>
  <c r="C96" i="280" s="1"/>
  <c r="AO94" i="280"/>
  <c r="AD94" i="280" s="1"/>
  <c r="C94" i="280" s="1"/>
  <c r="AO92" i="280"/>
  <c r="AD92" i="280" s="1"/>
  <c r="C92" i="280" s="1"/>
  <c r="AO90" i="280"/>
  <c r="AD90" i="280" s="1"/>
  <c r="C90" i="280" s="1"/>
  <c r="AD134" i="280"/>
  <c r="C134" i="280" s="1"/>
  <c r="AN113" i="280"/>
  <c r="AC113" i="280" s="1"/>
  <c r="AN116" i="280"/>
  <c r="AC116" i="280" s="1"/>
  <c r="AN111" i="280"/>
  <c r="AC111" i="280" s="1"/>
  <c r="AN117" i="280"/>
  <c r="AC117" i="280" s="1"/>
  <c r="AN119" i="280"/>
  <c r="AC119" i="280" s="1"/>
  <c r="AN120" i="280"/>
  <c r="AC120" i="280" s="1"/>
  <c r="AN118" i="280"/>
  <c r="AC118" i="280" s="1"/>
  <c r="AN115" i="280"/>
  <c r="AC115" i="280" s="1"/>
  <c r="AN114" i="280"/>
  <c r="AC114" i="280" s="1"/>
  <c r="AN112" i="280"/>
  <c r="AC112" i="280" s="1"/>
  <c r="AO21" i="280"/>
  <c r="AD21" i="280" s="1"/>
  <c r="AO22" i="280"/>
  <c r="AD22" i="280" s="1"/>
  <c r="C22" i="280" s="1"/>
  <c r="D22" i="280" s="1"/>
  <c r="AO81" i="280"/>
  <c r="AD81" i="280" s="1"/>
  <c r="C81" i="280" s="1"/>
  <c r="AO77" i="280"/>
  <c r="AD77" i="280" s="1"/>
  <c r="C77" i="280" s="1"/>
  <c r="AO76" i="280"/>
  <c r="AD76" i="280" s="1"/>
  <c r="C76" i="280" s="1"/>
  <c r="AO75" i="280"/>
  <c r="AD75" i="280" s="1"/>
  <c r="C75" i="280" s="1"/>
  <c r="AO74" i="280"/>
  <c r="AD74" i="280" s="1"/>
  <c r="C74" i="280" s="1"/>
  <c r="AO73" i="280"/>
  <c r="AD73" i="280" s="1"/>
  <c r="C73" i="280" s="1"/>
  <c r="AO72" i="280"/>
  <c r="AD72" i="280" s="1"/>
  <c r="C72" i="280" s="1"/>
  <c r="AO71" i="280"/>
  <c r="AD71" i="280" s="1"/>
  <c r="C71" i="280" s="1"/>
  <c r="AO70" i="280"/>
  <c r="AD70" i="280" s="1"/>
  <c r="C70" i="280" s="1"/>
  <c r="AO69" i="280"/>
  <c r="AD69" i="280" s="1"/>
  <c r="C69" i="280" s="1"/>
  <c r="AO68" i="280"/>
  <c r="AD68" i="280" s="1"/>
  <c r="C68" i="280" s="1"/>
  <c r="AO67" i="280"/>
  <c r="AD67" i="280" s="1"/>
  <c r="C67" i="280" s="1"/>
  <c r="AO66" i="280"/>
  <c r="AD66" i="280" s="1"/>
  <c r="C66" i="280" s="1"/>
  <c r="AO65" i="280"/>
  <c r="AD65" i="280" s="1"/>
  <c r="C65" i="280" s="1"/>
  <c r="D65" i="280" s="1"/>
  <c r="AO64" i="280"/>
  <c r="AD64" i="280" s="1"/>
  <c r="C64" i="280" s="1"/>
  <c r="AO63" i="280"/>
  <c r="AD63" i="280" s="1"/>
  <c r="C63" i="280" s="1"/>
  <c r="C21" i="280"/>
  <c r="D21" i="280" s="1"/>
  <c r="D16" i="280"/>
  <c r="D44" i="280"/>
  <c r="D52" i="280"/>
  <c r="D43" i="280"/>
  <c r="D50" i="280"/>
  <c r="D30" i="280"/>
  <c r="D56" i="280"/>
  <c r="D49" i="280"/>
  <c r="D48" i="280"/>
  <c r="D47" i="280"/>
  <c r="D46" i="280"/>
  <c r="D54" i="280"/>
  <c r="D45" i="280"/>
  <c r="D53" i="280"/>
  <c r="D33" i="280"/>
  <c r="D10" i="280"/>
  <c r="C7" i="290" s="1"/>
  <c r="D58" i="280"/>
  <c r="D59" i="280"/>
  <c r="D20" i="280"/>
  <c r="D18" i="280"/>
  <c r="D17" i="280"/>
  <c r="D19" i="280"/>
  <c r="D12" i="280"/>
  <c r="D13" i="280"/>
  <c r="D15" i="280"/>
  <c r="D56" i="290"/>
  <c r="C63" i="290"/>
  <c r="D147" i="280"/>
  <c r="D124" i="280"/>
  <c r="C78" i="290"/>
  <c r="D78" i="290" s="1"/>
  <c r="C81" i="290"/>
  <c r="D81" i="290" s="1"/>
  <c r="D122" i="280"/>
  <c r="C87" i="290"/>
  <c r="D87" i="290" s="1"/>
  <c r="C83" i="290"/>
  <c r="D83" i="290" s="1"/>
  <c r="C80" i="290"/>
  <c r="D80" i="290" s="1"/>
  <c r="C85" i="290"/>
  <c r="D85" i="290" s="1"/>
  <c r="C79" i="290"/>
  <c r="D79" i="290" s="1"/>
  <c r="D55" i="290"/>
  <c r="C62" i="290"/>
  <c r="C82" i="290"/>
  <c r="D82" i="290" s="1"/>
  <c r="C84" i="290"/>
  <c r="D84" i="290" s="1"/>
  <c r="C86" i="290"/>
  <c r="D86" i="290" s="1"/>
  <c r="C8" i="290" l="1"/>
  <c r="C115" i="280"/>
  <c r="C112" i="280"/>
  <c r="C118" i="280"/>
  <c r="AD89" i="280"/>
  <c r="C89" i="280" s="1"/>
  <c r="C114" i="280"/>
  <c r="C120" i="280"/>
  <c r="C117" i="280"/>
  <c r="C119" i="280"/>
  <c r="C111" i="280"/>
  <c r="C116" i="280"/>
  <c r="C113" i="280"/>
  <c r="D82" i="280"/>
  <c r="D126" i="280"/>
  <c r="D75" i="280"/>
  <c r="D32" i="280"/>
  <c r="D31" i="280"/>
  <c r="D29" i="280"/>
  <c r="D27" i="280"/>
  <c r="D28" i="280"/>
  <c r="D63" i="290"/>
  <c r="C70" i="290"/>
  <c r="D70" i="290" s="1"/>
  <c r="B7" i="290"/>
  <c r="D62" i="290"/>
  <c r="C69" i="290"/>
  <c r="D69" i="290" s="1"/>
  <c r="B8" i="290"/>
  <c r="C9" i="290" l="1"/>
  <c r="D133" i="280"/>
  <c r="D132" i="280"/>
  <c r="D139" i="280"/>
  <c r="D137" i="280"/>
  <c r="D131" i="280"/>
  <c r="D135" i="280"/>
  <c r="D142" i="280"/>
  <c r="D134" i="280"/>
  <c r="D141" i="280"/>
  <c r="D89" i="280"/>
  <c r="D117" i="280"/>
  <c r="D113" i="280"/>
  <c r="D95" i="280"/>
  <c r="D112" i="280"/>
  <c r="D97" i="280"/>
  <c r="D119" i="280"/>
  <c r="D91" i="280"/>
  <c r="D116" i="280"/>
  <c r="D107" i="280"/>
  <c r="D106" i="280"/>
  <c r="D102" i="280"/>
  <c r="D104" i="280"/>
  <c r="D108" i="280"/>
  <c r="D105" i="280"/>
  <c r="D103" i="280"/>
  <c r="D109" i="280"/>
  <c r="D100" i="280"/>
  <c r="B9" i="290"/>
  <c r="D78" i="280"/>
  <c r="D79" i="280"/>
  <c r="D67" i="280"/>
  <c r="D76" i="280"/>
  <c r="D70" i="280"/>
  <c r="D80" i="280"/>
  <c r="D73" i="280"/>
  <c r="D77" i="280"/>
  <c r="D81" i="280"/>
  <c r="D64" i="280"/>
  <c r="D72" i="280"/>
  <c r="D74" i="280"/>
  <c r="D69" i="280"/>
  <c r="D66" i="280"/>
  <c r="D63" i="280"/>
  <c r="D68" i="280"/>
  <c r="D71" i="280"/>
  <c r="F8" i="290"/>
  <c r="D114" i="280"/>
  <c r="D115" i="280"/>
  <c r="D94" i="280"/>
  <c r="D92" i="280"/>
  <c r="D118" i="280"/>
  <c r="D93" i="280"/>
  <c r="D96" i="280"/>
  <c r="D101" i="280"/>
  <c r="D98" i="280"/>
  <c r="D120" i="280"/>
  <c r="D90" i="280"/>
  <c r="D111" i="280"/>
  <c r="F25" i="280" l="1"/>
  <c r="O25" i="299" s="1"/>
  <c r="F12" i="280"/>
  <c r="C10" i="290"/>
  <c r="C11" i="290"/>
  <c r="O23" i="299"/>
  <c r="F21" i="280"/>
  <c r="F19" i="280"/>
  <c r="F17" i="280"/>
  <c r="F15" i="280"/>
  <c r="F13" i="280"/>
  <c r="F22" i="280"/>
  <c r="F20" i="280"/>
  <c r="F18" i="280"/>
  <c r="F16" i="280"/>
  <c r="F14" i="280"/>
  <c r="O12" i="299"/>
  <c r="B10" i="290"/>
  <c r="F7" i="290" s="1"/>
  <c r="B11" i="290"/>
  <c r="O16" i="299" l="1"/>
  <c r="K114" i="304"/>
  <c r="I114" i="304"/>
  <c r="J102" i="304"/>
  <c r="H128" i="304"/>
  <c r="J114" i="304"/>
  <c r="K102" i="304"/>
  <c r="I102" i="304"/>
  <c r="O20" i="299"/>
  <c r="J126" i="304"/>
  <c r="K118" i="304"/>
  <c r="I118" i="304"/>
  <c r="J106" i="304"/>
  <c r="J118" i="304"/>
  <c r="K106" i="304"/>
  <c r="I106" i="304"/>
  <c r="O13" i="299"/>
  <c r="H125" i="304"/>
  <c r="J111" i="304"/>
  <c r="K99" i="304"/>
  <c r="I99" i="304"/>
  <c r="K111" i="304"/>
  <c r="I111" i="304"/>
  <c r="J99" i="304"/>
  <c r="O17" i="299"/>
  <c r="H129" i="304"/>
  <c r="J115" i="304"/>
  <c r="K103" i="304"/>
  <c r="I103" i="304"/>
  <c r="K115" i="304"/>
  <c r="I115" i="304"/>
  <c r="J103" i="304"/>
  <c r="O21" i="299"/>
  <c r="J119" i="304"/>
  <c r="K107" i="304"/>
  <c r="I107" i="304"/>
  <c r="J127" i="304"/>
  <c r="K119" i="304"/>
  <c r="I119" i="304"/>
  <c r="J107" i="304"/>
  <c r="K110" i="304"/>
  <c r="I110" i="304"/>
  <c r="J98" i="304"/>
  <c r="H124" i="304"/>
  <c r="J110" i="304"/>
  <c r="K98" i="304"/>
  <c r="I98" i="304"/>
  <c r="O14" i="299"/>
  <c r="K112" i="304"/>
  <c r="I112" i="304"/>
  <c r="J100" i="304"/>
  <c r="H126" i="304"/>
  <c r="J112" i="304"/>
  <c r="K100" i="304"/>
  <c r="I100" i="304"/>
  <c r="O18" i="299"/>
  <c r="J124" i="304"/>
  <c r="K116" i="304"/>
  <c r="I116" i="304"/>
  <c r="J104" i="304"/>
  <c r="J116" i="304"/>
  <c r="K104" i="304"/>
  <c r="I104" i="304"/>
  <c r="O22" i="299"/>
  <c r="J128" i="304"/>
  <c r="K120" i="304"/>
  <c r="I120" i="304"/>
  <c r="J108" i="304"/>
  <c r="J120" i="304"/>
  <c r="K108" i="304"/>
  <c r="I108" i="304"/>
  <c r="O15" i="299"/>
  <c r="H127" i="304"/>
  <c r="I101" i="304"/>
  <c r="I113" i="304"/>
  <c r="J113" i="304"/>
  <c r="K113" i="304"/>
  <c r="J101" i="304"/>
  <c r="K101" i="304"/>
  <c r="O19" i="299"/>
  <c r="J117" i="304"/>
  <c r="K105" i="304"/>
  <c r="I105" i="304"/>
  <c r="J125" i="304"/>
  <c r="K117" i="304"/>
  <c r="I117" i="304"/>
  <c r="J105" i="304"/>
  <c r="F11" i="280"/>
  <c r="O11" i="299" s="1"/>
  <c r="F10" i="280"/>
  <c r="F9" i="280"/>
  <c r="O9" i="299" s="1"/>
  <c r="E100" i="300"/>
  <c r="K96" i="300"/>
  <c r="K94" i="300"/>
  <c r="K92" i="300"/>
  <c r="K91" i="300"/>
  <c r="K90" i="300"/>
  <c r="K89" i="300"/>
  <c r="K88" i="300"/>
  <c r="K87" i="300"/>
  <c r="K86" i="300"/>
  <c r="K85" i="300"/>
  <c r="K84" i="300"/>
  <c r="K83" i="300"/>
  <c r="K82" i="300"/>
  <c r="K81" i="300"/>
  <c r="K80" i="300"/>
  <c r="K79" i="300"/>
  <c r="K78" i="300"/>
  <c r="K77" i="300"/>
  <c r="K76" i="300"/>
  <c r="K75" i="300"/>
  <c r="K74" i="300"/>
  <c r="K73" i="300"/>
  <c r="K72" i="300"/>
  <c r="K71" i="300"/>
  <c r="K70" i="300"/>
  <c r="K69" i="300"/>
  <c r="K68" i="300"/>
  <c r="K67" i="300"/>
  <c r="K66" i="300"/>
  <c r="K65" i="300"/>
  <c r="K64" i="300"/>
  <c r="K63" i="300"/>
  <c r="K62" i="300"/>
  <c r="K61" i="300"/>
  <c r="K60" i="300"/>
  <c r="K59" i="300"/>
  <c r="K58" i="300"/>
  <c r="K57" i="300"/>
  <c r="K56" i="300"/>
  <c r="K55" i="300"/>
  <c r="K54" i="300"/>
  <c r="K53" i="300"/>
  <c r="K52" i="300"/>
  <c r="K51" i="300"/>
  <c r="K50" i="300"/>
  <c r="K49" i="300"/>
  <c r="K47" i="300"/>
  <c r="K46" i="300"/>
  <c r="K45" i="300"/>
  <c r="K44" i="300"/>
  <c r="K43" i="300"/>
  <c r="K42" i="300"/>
  <c r="K41" i="300"/>
  <c r="K40" i="300"/>
  <c r="K39" i="300"/>
  <c r="K38" i="300"/>
  <c r="K37" i="300"/>
  <c r="K36" i="300"/>
  <c r="K35" i="300"/>
  <c r="K34" i="300"/>
  <c r="K33" i="300"/>
  <c r="K32" i="300"/>
  <c r="K31" i="300"/>
  <c r="K30" i="300"/>
  <c r="K29" i="300"/>
  <c r="K28" i="300"/>
  <c r="K27" i="300"/>
  <c r="K26" i="300"/>
  <c r="K25" i="300"/>
  <c r="K24" i="300"/>
  <c r="K23" i="300"/>
  <c r="K22" i="300"/>
  <c r="K21" i="300"/>
  <c r="K20" i="300"/>
  <c r="K19" i="300"/>
  <c r="K18" i="300"/>
  <c r="K17" i="300"/>
  <c r="K16" i="300"/>
  <c r="K15" i="300"/>
  <c r="K14" i="300"/>
  <c r="K13" i="300"/>
  <c r="K12" i="300"/>
  <c r="J96" i="300"/>
  <c r="J94" i="300"/>
  <c r="J92" i="300"/>
  <c r="J91" i="300"/>
  <c r="J90" i="300"/>
  <c r="J89" i="300"/>
  <c r="J88" i="300"/>
  <c r="J87" i="300"/>
  <c r="J86" i="300"/>
  <c r="J85" i="300"/>
  <c r="J84" i="300"/>
  <c r="J83" i="300"/>
  <c r="J82" i="300"/>
  <c r="J81" i="300"/>
  <c r="J80" i="300"/>
  <c r="J79" i="300"/>
  <c r="J78" i="300"/>
  <c r="J77" i="300"/>
  <c r="J76" i="300"/>
  <c r="J75" i="300"/>
  <c r="J74" i="300"/>
  <c r="J73" i="300"/>
  <c r="J72" i="300"/>
  <c r="J71" i="300"/>
  <c r="J70" i="300"/>
  <c r="J69" i="300"/>
  <c r="J68" i="300"/>
  <c r="J67" i="300"/>
  <c r="J66" i="300"/>
  <c r="J65" i="300"/>
  <c r="J64" i="300"/>
  <c r="J63" i="300"/>
  <c r="J62" i="300"/>
  <c r="J61" i="300"/>
  <c r="J60" i="300"/>
  <c r="J59" i="300"/>
  <c r="J58" i="300"/>
  <c r="J57" i="300"/>
  <c r="J56" i="300"/>
  <c r="J55" i="300"/>
  <c r="J54" i="300"/>
  <c r="J53" i="300"/>
  <c r="J52" i="300"/>
  <c r="J51" i="300"/>
  <c r="J50" i="300"/>
  <c r="J49" i="300"/>
  <c r="J47" i="300"/>
  <c r="J46" i="300"/>
  <c r="J45" i="300"/>
  <c r="J44" i="300"/>
  <c r="J43" i="300"/>
  <c r="J42" i="300"/>
  <c r="J41" i="300"/>
  <c r="J40" i="300"/>
  <c r="J39" i="300"/>
  <c r="J38" i="300"/>
  <c r="J37" i="300"/>
  <c r="J36" i="300"/>
  <c r="J35" i="300"/>
  <c r="J34" i="300"/>
  <c r="J33" i="300"/>
  <c r="J32" i="300"/>
  <c r="J31" i="300"/>
  <c r="J30" i="300"/>
  <c r="J29" i="300"/>
  <c r="J28" i="300"/>
  <c r="J27" i="300"/>
  <c r="J26" i="300"/>
  <c r="J25" i="300"/>
  <c r="J24" i="300"/>
  <c r="J23" i="300"/>
  <c r="J22" i="300"/>
  <c r="J21" i="300"/>
  <c r="J20" i="300"/>
  <c r="J19" i="300"/>
  <c r="J18" i="300"/>
  <c r="J17" i="300"/>
  <c r="J16" i="300"/>
  <c r="J15" i="300"/>
  <c r="J14" i="300"/>
  <c r="J13" i="300"/>
  <c r="J12" i="300"/>
  <c r="K11" i="300"/>
  <c r="K10" i="300"/>
  <c r="K9" i="300"/>
  <c r="K8" i="300"/>
  <c r="J11" i="300"/>
  <c r="J10" i="300"/>
  <c r="J9" i="300"/>
  <c r="J8" i="300"/>
  <c r="F10" i="290"/>
  <c r="O10" i="299" l="1"/>
  <c r="K94" i="304"/>
  <c r="K92" i="304"/>
  <c r="J91" i="304"/>
  <c r="K90" i="304"/>
  <c r="J89" i="304"/>
  <c r="K88" i="304"/>
  <c r="J87" i="304"/>
  <c r="K86" i="304"/>
  <c r="J85" i="304"/>
  <c r="K84" i="304"/>
  <c r="J83" i="304"/>
  <c r="K82" i="304"/>
  <c r="J81" i="304"/>
  <c r="K80" i="304"/>
  <c r="J79" i="304"/>
  <c r="K78" i="304"/>
  <c r="J77" i="304"/>
  <c r="K76" i="304"/>
  <c r="J75" i="304"/>
  <c r="K74" i="304"/>
  <c r="J73" i="304"/>
  <c r="K72" i="304"/>
  <c r="J71" i="304"/>
  <c r="K70" i="304"/>
  <c r="J69" i="304"/>
  <c r="K68" i="304"/>
  <c r="J67" i="304"/>
  <c r="E128" i="304"/>
  <c r="J94" i="304"/>
  <c r="J92" i="304"/>
  <c r="K91" i="304"/>
  <c r="J90" i="304"/>
  <c r="K89" i="304"/>
  <c r="J88" i="304"/>
  <c r="K87" i="304"/>
  <c r="J86" i="304"/>
  <c r="K85" i="304"/>
  <c r="J84" i="304"/>
  <c r="K83" i="304"/>
  <c r="J82" i="304"/>
  <c r="K81" i="304"/>
  <c r="J80" i="304"/>
  <c r="K79" i="304"/>
  <c r="J78" i="304"/>
  <c r="K77" i="304"/>
  <c r="J76" i="304"/>
  <c r="K75" i="304"/>
  <c r="J74" i="304"/>
  <c r="K73" i="304"/>
  <c r="J72" i="304"/>
  <c r="K71" i="304"/>
  <c r="J70" i="304"/>
  <c r="K69" i="304"/>
  <c r="J68" i="304"/>
  <c r="K67" i="304"/>
  <c r="J66" i="304"/>
  <c r="J65" i="304"/>
  <c r="K64" i="304"/>
  <c r="J63" i="304"/>
  <c r="K62" i="304"/>
  <c r="J61" i="304"/>
  <c r="K60" i="304"/>
  <c r="J59" i="304"/>
  <c r="K58" i="304"/>
  <c r="J57" i="304"/>
  <c r="K56" i="304"/>
  <c r="J55" i="304"/>
  <c r="K54" i="304"/>
  <c r="J53" i="304"/>
  <c r="K52" i="304"/>
  <c r="J51" i="304"/>
  <c r="K50" i="304"/>
  <c r="J49" i="304"/>
  <c r="J47" i="304"/>
  <c r="K46" i="304"/>
  <c r="J45" i="304"/>
  <c r="K44" i="304"/>
  <c r="J43" i="304"/>
  <c r="K42" i="304"/>
  <c r="J41" i="304"/>
  <c r="K40" i="304"/>
  <c r="J39" i="304"/>
  <c r="K38" i="304"/>
  <c r="J37" i="304"/>
  <c r="K36" i="304"/>
  <c r="J35" i="304"/>
  <c r="K34" i="304"/>
  <c r="J33" i="304"/>
  <c r="K32" i="304"/>
  <c r="J31" i="304"/>
  <c r="K30" i="304"/>
  <c r="J29" i="304"/>
  <c r="K28" i="304"/>
  <c r="J27" i="304"/>
  <c r="K26" i="304"/>
  <c r="J25" i="304"/>
  <c r="K24" i="304"/>
  <c r="J23" i="304"/>
  <c r="K22" i="304"/>
  <c r="J21" i="304"/>
  <c r="K20" i="304"/>
  <c r="J19" i="304"/>
  <c r="K18" i="304"/>
  <c r="J17" i="304"/>
  <c r="K16" i="304"/>
  <c r="J15" i="304"/>
  <c r="K14" i="304"/>
  <c r="J13" i="304"/>
  <c r="K12" i="304"/>
  <c r="J11" i="304"/>
  <c r="K10" i="304"/>
  <c r="K66" i="304"/>
  <c r="K65" i="304"/>
  <c r="J64" i="304"/>
  <c r="K63" i="304"/>
  <c r="J62" i="304"/>
  <c r="K61" i="304"/>
  <c r="J60" i="304"/>
  <c r="K59" i="304"/>
  <c r="J58" i="304"/>
  <c r="K57" i="304"/>
  <c r="J56" i="304"/>
  <c r="K55" i="304"/>
  <c r="J54" i="304"/>
  <c r="K53" i="304"/>
  <c r="J52" i="304"/>
  <c r="K51" i="304"/>
  <c r="J50" i="304"/>
  <c r="K49" i="304"/>
  <c r="K47" i="304"/>
  <c r="J46" i="304"/>
  <c r="K45" i="304"/>
  <c r="J44" i="304"/>
  <c r="K43" i="304"/>
  <c r="J42" i="304"/>
  <c r="K41" i="304"/>
  <c r="J40" i="304"/>
  <c r="K39" i="304"/>
  <c r="J38" i="304"/>
  <c r="K37" i="304"/>
  <c r="J36" i="304"/>
  <c r="K35" i="304"/>
  <c r="J34" i="304"/>
  <c r="K33" i="304"/>
  <c r="J32" i="304"/>
  <c r="K31" i="304"/>
  <c r="J30" i="304"/>
  <c r="K29" i="304"/>
  <c r="J28" i="304"/>
  <c r="K27" i="304"/>
  <c r="J26" i="304"/>
  <c r="K25" i="304"/>
  <c r="J24" i="304"/>
  <c r="K23" i="304"/>
  <c r="J22" i="304"/>
  <c r="K21" i="304"/>
  <c r="J20" i="304"/>
  <c r="K19" i="304"/>
  <c r="J18" i="304"/>
  <c r="K17" i="304"/>
  <c r="J16" i="304"/>
  <c r="K15" i="304"/>
  <c r="J14" i="304"/>
  <c r="K13" i="304"/>
  <c r="J12" i="304"/>
  <c r="K11" i="304"/>
  <c r="J10" i="304"/>
  <c r="J9" i="304"/>
  <c r="K8" i="304"/>
  <c r="J8" i="304"/>
  <c r="K9" i="304"/>
  <c r="J96" i="304"/>
  <c r="K96" i="304"/>
  <c r="F84" i="280"/>
  <c r="F63" i="280"/>
  <c r="F65" i="280"/>
  <c r="F67" i="280"/>
  <c r="F69" i="280"/>
  <c r="F71" i="280"/>
  <c r="F73" i="280"/>
  <c r="F75" i="280"/>
  <c r="F77" i="280"/>
  <c r="F79" i="280"/>
  <c r="O79" i="299" s="1"/>
  <c r="F81" i="280"/>
  <c r="O81" i="299" s="1"/>
  <c r="F83" i="280"/>
  <c r="O83" i="299" s="1"/>
  <c r="F85" i="280"/>
  <c r="O85" i="299" s="1"/>
  <c r="F64" i="280"/>
  <c r="F66" i="280"/>
  <c r="F68" i="280"/>
  <c r="F70" i="280"/>
  <c r="F72" i="280"/>
  <c r="F74" i="280"/>
  <c r="F76" i="280"/>
  <c r="F78" i="280"/>
  <c r="D10" i="301" s="1"/>
  <c r="D11" i="301" s="1"/>
  <c r="F80" i="280"/>
  <c r="O80" i="299" s="1"/>
  <c r="F82" i="280"/>
  <c r="F62" i="280"/>
  <c r="O62" i="299" s="1"/>
  <c r="O76" i="299" l="1"/>
  <c r="D97" i="302"/>
  <c r="E97" i="302" s="1"/>
  <c r="O72" i="299"/>
  <c r="D83" i="302"/>
  <c r="O68" i="299"/>
  <c r="D55" i="302"/>
  <c r="O64" i="299"/>
  <c r="D34" i="302"/>
  <c r="O75" i="299"/>
  <c r="D94" i="302"/>
  <c r="O71" i="299"/>
  <c r="D77" i="302"/>
  <c r="O67" i="299"/>
  <c r="D47" i="302"/>
  <c r="O63" i="299"/>
  <c r="D29" i="302"/>
  <c r="O82" i="299"/>
  <c r="D75" i="302"/>
  <c r="E75" i="302" s="1"/>
  <c r="G75" i="302" s="1"/>
  <c r="O78" i="299"/>
  <c r="O74" i="299"/>
  <c r="D90" i="302"/>
  <c r="O70" i="299"/>
  <c r="D68" i="302"/>
  <c r="O66" i="299"/>
  <c r="D44" i="302"/>
  <c r="O77" i="299"/>
  <c r="D99" i="302"/>
  <c r="E99" i="302" s="1"/>
  <c r="O73" i="299"/>
  <c r="D87" i="302"/>
  <c r="O69" i="299"/>
  <c r="D63" i="302"/>
  <c r="O65" i="299"/>
  <c r="D39" i="302"/>
  <c r="O84" i="299"/>
  <c r="D66" i="302"/>
  <c r="E66" i="302" s="1"/>
  <c r="G66" i="302" s="1"/>
  <c r="D61" i="302"/>
  <c r="E61" i="302" s="1"/>
  <c r="G61" i="302" s="1"/>
  <c r="D40" i="302" l="1"/>
  <c r="E39" i="302"/>
  <c r="D64" i="302"/>
  <c r="E63" i="302"/>
  <c r="D88" i="302"/>
  <c r="E88" i="302" s="1"/>
  <c r="G88" i="302" s="1"/>
  <c r="E87" i="302"/>
  <c r="E100" i="302"/>
  <c r="G99" i="302"/>
  <c r="G100" i="302" s="1"/>
  <c r="E24" i="302" s="1"/>
  <c r="D45" i="302"/>
  <c r="E45" i="302" s="1"/>
  <c r="G45" i="302" s="1"/>
  <c r="E44" i="302"/>
  <c r="D69" i="302"/>
  <c r="E68" i="302"/>
  <c r="D91" i="302"/>
  <c r="E90" i="302"/>
  <c r="E10" i="301"/>
  <c r="E11" i="301"/>
  <c r="D30" i="302"/>
  <c r="E29" i="302"/>
  <c r="D48" i="302"/>
  <c r="E47" i="302"/>
  <c r="D78" i="302"/>
  <c r="E77" i="302"/>
  <c r="D95" i="302"/>
  <c r="E95" i="302" s="1"/>
  <c r="G95" i="302" s="1"/>
  <c r="E94" i="302"/>
  <c r="E34" i="302"/>
  <c r="D35" i="302"/>
  <c r="D56" i="302"/>
  <c r="E55" i="302"/>
  <c r="D84" i="302"/>
  <c r="E83" i="302"/>
  <c r="E98" i="302"/>
  <c r="G97" i="302"/>
  <c r="G98" i="302" s="1"/>
  <c r="E23" i="302" s="1"/>
  <c r="J48" i="300" l="1"/>
  <c r="E125" i="304"/>
  <c r="K48" i="304"/>
  <c r="J48" i="304"/>
  <c r="E126" i="304"/>
  <c r="J95" i="304"/>
  <c r="J93" i="304"/>
  <c r="K95" i="304"/>
  <c r="K93" i="304"/>
  <c r="G83" i="302"/>
  <c r="G55" i="302"/>
  <c r="D36" i="302"/>
  <c r="E35" i="302"/>
  <c r="G35" i="302" s="1"/>
  <c r="E96" i="302"/>
  <c r="G94" i="302"/>
  <c r="G96" i="302" s="1"/>
  <c r="E22" i="302" s="1"/>
  <c r="G77" i="302"/>
  <c r="G47" i="302"/>
  <c r="G29" i="302"/>
  <c r="E102" i="300"/>
  <c r="K48" i="300"/>
  <c r="G90" i="302"/>
  <c r="G68" i="302"/>
  <c r="E46" i="302"/>
  <c r="G44" i="302"/>
  <c r="G46" i="302" s="1"/>
  <c r="E13" i="302" s="1"/>
  <c r="G87" i="302"/>
  <c r="G89" i="302" s="1"/>
  <c r="E20" i="302" s="1"/>
  <c r="E89" i="302"/>
  <c r="G63" i="302"/>
  <c r="G39" i="302"/>
  <c r="D85" i="302"/>
  <c r="E85" i="302" s="1"/>
  <c r="G85" i="302" s="1"/>
  <c r="E84" i="302"/>
  <c r="G84" i="302" s="1"/>
  <c r="D57" i="302"/>
  <c r="E56" i="302"/>
  <c r="G56" i="302" s="1"/>
  <c r="G34" i="302"/>
  <c r="D79" i="302"/>
  <c r="E78" i="302"/>
  <c r="G78" i="302" s="1"/>
  <c r="E48" i="302"/>
  <c r="G48" i="302" s="1"/>
  <c r="D49" i="302"/>
  <c r="D31" i="302"/>
  <c r="E30" i="302"/>
  <c r="G30" i="302" s="1"/>
  <c r="E103" i="300"/>
  <c r="J93" i="300"/>
  <c r="K93" i="300"/>
  <c r="J95" i="300"/>
  <c r="K95" i="300"/>
  <c r="E91" i="302"/>
  <c r="G91" i="302" s="1"/>
  <c r="D92" i="302"/>
  <c r="E92" i="302" s="1"/>
  <c r="G92" i="302" s="1"/>
  <c r="E69" i="302"/>
  <c r="G69" i="302" s="1"/>
  <c r="D70" i="302"/>
  <c r="D65" i="302"/>
  <c r="E65" i="302" s="1"/>
  <c r="G65" i="302" s="1"/>
  <c r="E64" i="302"/>
  <c r="G64" i="302" s="1"/>
  <c r="E40" i="302"/>
  <c r="G40" i="302" s="1"/>
  <c r="D41" i="302"/>
  <c r="F11" i="290"/>
  <c r="F9" i="290"/>
  <c r="F143" i="280" l="1"/>
  <c r="O143" i="299" s="1"/>
  <c r="F146" i="280"/>
  <c r="O146" i="299" s="1"/>
  <c r="F122" i="280"/>
  <c r="O122" i="299" s="1"/>
  <c r="F124" i="280"/>
  <c r="O124" i="299" s="1"/>
  <c r="F126" i="280"/>
  <c r="O126" i="299" s="1"/>
  <c r="F131" i="280"/>
  <c r="O131" i="299" s="1"/>
  <c r="F133" i="280"/>
  <c r="O133" i="299" s="1"/>
  <c r="F135" i="280"/>
  <c r="O135" i="299" s="1"/>
  <c r="F139" i="280"/>
  <c r="O139" i="299" s="1"/>
  <c r="F89" i="280"/>
  <c r="O89" i="299" s="1"/>
  <c r="F91" i="280"/>
  <c r="O91" i="299" s="1"/>
  <c r="F93" i="280"/>
  <c r="O93" i="299" s="1"/>
  <c r="F95" i="280"/>
  <c r="O95" i="299" s="1"/>
  <c r="F97" i="280"/>
  <c r="O97" i="299" s="1"/>
  <c r="F100" i="280"/>
  <c r="O100" i="299" s="1"/>
  <c r="F102" i="280"/>
  <c r="O102" i="299" s="1"/>
  <c r="F104" i="280"/>
  <c r="O104" i="299" s="1"/>
  <c r="F106" i="280"/>
  <c r="O106" i="299" s="1"/>
  <c r="F108" i="280"/>
  <c r="O108" i="299" s="1"/>
  <c r="F111" i="280"/>
  <c r="O111" i="299" s="1"/>
  <c r="F113" i="280"/>
  <c r="O113" i="299" s="1"/>
  <c r="F115" i="280"/>
  <c r="O115" i="299" s="1"/>
  <c r="F117" i="280"/>
  <c r="O117" i="299" s="1"/>
  <c r="F142" i="280"/>
  <c r="O142" i="299" s="1"/>
  <c r="F144" i="280"/>
  <c r="O144" i="299" s="1"/>
  <c r="F147" i="280"/>
  <c r="O147" i="299" s="1"/>
  <c r="F123" i="280"/>
  <c r="O123" i="299" s="1"/>
  <c r="F125" i="280"/>
  <c r="O125" i="299" s="1"/>
  <c r="F127" i="280"/>
  <c r="O127" i="299" s="1"/>
  <c r="F132" i="280"/>
  <c r="O132" i="299" s="1"/>
  <c r="F134" i="280"/>
  <c r="O134" i="299" s="1"/>
  <c r="F137" i="280"/>
  <c r="O137" i="299" s="1"/>
  <c r="F141" i="280"/>
  <c r="O141" i="299" s="1"/>
  <c r="F90" i="280"/>
  <c r="O90" i="299" s="1"/>
  <c r="F92" i="280"/>
  <c r="O92" i="299" s="1"/>
  <c r="F94" i="280"/>
  <c r="O94" i="299" s="1"/>
  <c r="F96" i="280"/>
  <c r="O96" i="299" s="1"/>
  <c r="F98" i="280"/>
  <c r="O98" i="299" s="1"/>
  <c r="F101" i="280"/>
  <c r="O101" i="299" s="1"/>
  <c r="F103" i="280"/>
  <c r="O103" i="299" s="1"/>
  <c r="F105" i="280"/>
  <c r="O105" i="299" s="1"/>
  <c r="F107" i="280"/>
  <c r="O107" i="299" s="1"/>
  <c r="F109" i="280"/>
  <c r="O109" i="299" s="1"/>
  <c r="F112" i="280"/>
  <c r="O112" i="299" s="1"/>
  <c r="F114" i="280"/>
  <c r="O114" i="299" s="1"/>
  <c r="F116" i="280"/>
  <c r="O116" i="299" s="1"/>
  <c r="F118" i="280"/>
  <c r="O118" i="299" s="1"/>
  <c r="F120" i="280"/>
  <c r="O120" i="299" s="1"/>
  <c r="F121" i="280"/>
  <c r="O121" i="299" s="1"/>
  <c r="F119" i="280"/>
  <c r="O119" i="299" s="1"/>
  <c r="F86" i="280"/>
  <c r="O86" i="299" s="1"/>
  <c r="F145" i="280"/>
  <c r="O145" i="299" s="1"/>
  <c r="F99" i="280"/>
  <c r="O99" i="299" s="1"/>
  <c r="F140" i="280"/>
  <c r="O140" i="299" s="1"/>
  <c r="F136" i="280"/>
  <c r="O136" i="299" s="1"/>
  <c r="F128" i="280"/>
  <c r="O128" i="299" s="1"/>
  <c r="F88" i="280"/>
  <c r="O88" i="299" s="1"/>
  <c r="F129" i="280"/>
  <c r="O129" i="299" s="1"/>
  <c r="F87" i="280"/>
  <c r="O87" i="299" s="1"/>
  <c r="F138" i="280"/>
  <c r="O138" i="299" s="1"/>
  <c r="F130" i="280"/>
  <c r="O130" i="299" s="1"/>
  <c r="F110" i="280"/>
  <c r="O110" i="299" s="1"/>
  <c r="E49" i="302"/>
  <c r="D50" i="302"/>
  <c r="G67" i="302"/>
  <c r="E16" i="302" s="1"/>
  <c r="G93" i="302"/>
  <c r="E21" i="302" s="1"/>
  <c r="E86" i="302"/>
  <c r="F58" i="280"/>
  <c r="F42" i="280"/>
  <c r="F44" i="280"/>
  <c r="F46" i="280"/>
  <c r="F48" i="280"/>
  <c r="F50" i="280"/>
  <c r="F52" i="280"/>
  <c r="F54" i="280"/>
  <c r="F32" i="280"/>
  <c r="F30" i="280"/>
  <c r="F28" i="280"/>
  <c r="F36" i="280"/>
  <c r="F40" i="280"/>
  <c r="F60" i="280"/>
  <c r="O60" i="299" s="1"/>
  <c r="F37" i="280"/>
  <c r="O37" i="299" s="1"/>
  <c r="F34" i="280"/>
  <c r="O34" i="299" s="1"/>
  <c r="F59" i="280"/>
  <c r="F56" i="280"/>
  <c r="F43" i="280"/>
  <c r="F45" i="280"/>
  <c r="F47" i="280"/>
  <c r="F49" i="280"/>
  <c r="F51" i="280"/>
  <c r="F53" i="280"/>
  <c r="F33" i="280"/>
  <c r="F31" i="280"/>
  <c r="F29" i="280"/>
  <c r="F27" i="280"/>
  <c r="F39" i="280"/>
  <c r="F61" i="280"/>
  <c r="O61" i="299" s="1"/>
  <c r="F38" i="280"/>
  <c r="O38" i="299" s="1"/>
  <c r="F35" i="280"/>
  <c r="O35" i="299" s="1"/>
  <c r="F57" i="280"/>
  <c r="O57" i="299" s="1"/>
  <c r="F41" i="280"/>
  <c r="O41" i="299" s="1"/>
  <c r="F55" i="280"/>
  <c r="O55" i="299" s="1"/>
  <c r="F26" i="280"/>
  <c r="O26" i="299" s="1"/>
  <c r="E41" i="302"/>
  <c r="G41" i="302" s="1"/>
  <c r="D42" i="302"/>
  <c r="E42" i="302" s="1"/>
  <c r="G42" i="302" s="1"/>
  <c r="E70" i="302"/>
  <c r="G70" i="302" s="1"/>
  <c r="D71" i="302"/>
  <c r="D32" i="302"/>
  <c r="E32" i="302" s="1"/>
  <c r="G32" i="302" s="1"/>
  <c r="E31" i="302"/>
  <c r="G31" i="302" s="1"/>
  <c r="E79" i="302"/>
  <c r="G79" i="302" s="1"/>
  <c r="D80" i="302"/>
  <c r="E57" i="302"/>
  <c r="G57" i="302" s="1"/>
  <c r="D58" i="302"/>
  <c r="E67" i="302"/>
  <c r="E93" i="302"/>
  <c r="D37" i="302"/>
  <c r="E37" i="302" s="1"/>
  <c r="G37" i="302" s="1"/>
  <c r="E36" i="302"/>
  <c r="G86" i="302"/>
  <c r="E19" i="302" s="1"/>
  <c r="F8" i="280"/>
  <c r="F6" i="280"/>
  <c r="O6" i="299" s="1"/>
  <c r="F7" i="280"/>
  <c r="O7" i="299" s="1"/>
  <c r="O8" i="299" l="1"/>
  <c r="E127" i="304"/>
  <c r="O39" i="299"/>
  <c r="D17" i="297"/>
  <c r="E17" i="297" s="1"/>
  <c r="O51" i="299"/>
  <c r="D28" i="297"/>
  <c r="E28" i="297" s="1"/>
  <c r="O47" i="299"/>
  <c r="D24" i="297"/>
  <c r="E24" i="297" s="1"/>
  <c r="O43" i="299"/>
  <c r="D20" i="297"/>
  <c r="E20" i="297" s="1"/>
  <c r="O59" i="299"/>
  <c r="D34" i="297"/>
  <c r="O40" i="299"/>
  <c r="D18" i="297"/>
  <c r="E18" i="297" s="1"/>
  <c r="O52" i="299"/>
  <c r="D29" i="297"/>
  <c r="E29" i="297" s="1"/>
  <c r="O48" i="299"/>
  <c r="D25" i="297"/>
  <c r="E25" i="297" s="1"/>
  <c r="O44" i="299"/>
  <c r="D21" i="297"/>
  <c r="E21" i="297" s="1"/>
  <c r="O58" i="299"/>
  <c r="D33" i="297"/>
  <c r="O53" i="299"/>
  <c r="D30" i="297"/>
  <c r="E30" i="297" s="1"/>
  <c r="O49" i="299"/>
  <c r="D26" i="297"/>
  <c r="E26" i="297" s="1"/>
  <c r="O45" i="299"/>
  <c r="D22" i="297"/>
  <c r="E22" i="297" s="1"/>
  <c r="O56" i="299"/>
  <c r="D32" i="297"/>
  <c r="E32" i="297" s="1"/>
  <c r="O36" i="299"/>
  <c r="D16" i="297"/>
  <c r="O54" i="299"/>
  <c r="D31" i="297"/>
  <c r="E31" i="297" s="1"/>
  <c r="O50" i="299"/>
  <c r="D27" i="297"/>
  <c r="E27" i="297" s="1"/>
  <c r="O46" i="299"/>
  <c r="D23" i="297"/>
  <c r="E23" i="297" s="1"/>
  <c r="O42" i="299"/>
  <c r="D19" i="297"/>
  <c r="O29" i="299"/>
  <c r="D11" i="297"/>
  <c r="O33" i="299"/>
  <c r="D15" i="297"/>
  <c r="D10" i="297"/>
  <c r="O32" i="299"/>
  <c r="D14" i="297"/>
  <c r="O27" i="299"/>
  <c r="D9" i="297"/>
  <c r="O31" i="299"/>
  <c r="D13" i="297"/>
  <c r="D12" i="297"/>
  <c r="G43" i="302"/>
  <c r="E12" i="302" s="1"/>
  <c r="G33" i="302"/>
  <c r="E10" i="302" s="1"/>
  <c r="G36" i="302"/>
  <c r="G38" i="302" s="1"/>
  <c r="E11" i="302" s="1"/>
  <c r="E38" i="302"/>
  <c r="D81" i="302"/>
  <c r="E81" i="302" s="1"/>
  <c r="G81" i="302" s="1"/>
  <c r="E80" i="302"/>
  <c r="D72" i="302"/>
  <c r="E71" i="302"/>
  <c r="G71" i="302" s="1"/>
  <c r="D51" i="302"/>
  <c r="E50" i="302"/>
  <c r="G50" i="302" s="1"/>
  <c r="D59" i="302"/>
  <c r="E58" i="302"/>
  <c r="G58" i="302" s="1"/>
  <c r="E33" i="302"/>
  <c r="E43" i="302"/>
  <c r="G49" i="302"/>
  <c r="E19" i="297"/>
  <c r="E59" i="302" l="1"/>
  <c r="D60" i="302"/>
  <c r="E60" i="302" s="1"/>
  <c r="G60" i="302" s="1"/>
  <c r="E51" i="302"/>
  <c r="D52" i="302"/>
  <c r="E72" i="302"/>
  <c r="D73" i="302"/>
  <c r="G80" i="302"/>
  <c r="G82" i="302" s="1"/>
  <c r="E18" i="302" s="1"/>
  <c r="E82" i="302"/>
  <c r="E13" i="297"/>
  <c r="E33" i="297"/>
  <c r="E10" i="297"/>
  <c r="E14" i="297"/>
  <c r="E12" i="297"/>
  <c r="E9" i="297"/>
  <c r="E11" i="297"/>
  <c r="E16" i="297"/>
  <c r="E15" i="297"/>
  <c r="G72" i="302" l="1"/>
  <c r="G51" i="302"/>
  <c r="G59" i="302"/>
  <c r="G62" i="302" s="1"/>
  <c r="E15" i="302" s="1"/>
  <c r="E62" i="302"/>
  <c r="E73" i="302"/>
  <c r="G73" i="302" s="1"/>
  <c r="D74" i="302"/>
  <c r="E74" i="302" s="1"/>
  <c r="G74" i="302" s="1"/>
  <c r="E52" i="302"/>
  <c r="G52" i="302" s="1"/>
  <c r="D53" i="302"/>
  <c r="E53" i="302" s="1"/>
  <c r="G53" i="302" s="1"/>
  <c r="E34" i="297"/>
  <c r="E35" i="297" s="1"/>
  <c r="E124" i="304" l="1"/>
  <c r="I94" i="304"/>
  <c r="I90" i="304"/>
  <c r="I86" i="304"/>
  <c r="I82" i="304"/>
  <c r="I78" i="304"/>
  <c r="I74" i="304"/>
  <c r="I70" i="304"/>
  <c r="I95" i="304"/>
  <c r="I91" i="304"/>
  <c r="I87" i="304"/>
  <c r="I83" i="304"/>
  <c r="I79" i="304"/>
  <c r="I75" i="304"/>
  <c r="I71" i="304"/>
  <c r="I67" i="304"/>
  <c r="I64" i="304"/>
  <c r="I60" i="304"/>
  <c r="I56" i="304"/>
  <c r="I52" i="304"/>
  <c r="I48" i="304"/>
  <c r="I44" i="304"/>
  <c r="I40" i="304"/>
  <c r="I36" i="304"/>
  <c r="I32" i="304"/>
  <c r="I28" i="304"/>
  <c r="I24" i="304"/>
  <c r="I20" i="304"/>
  <c r="I16" i="304"/>
  <c r="I12" i="304"/>
  <c r="I65" i="304"/>
  <c r="I61" i="304"/>
  <c r="I57" i="304"/>
  <c r="I53" i="304"/>
  <c r="I49" i="304"/>
  <c r="I45" i="304"/>
  <c r="I41" i="304"/>
  <c r="I37" i="304"/>
  <c r="I33" i="304"/>
  <c r="I29" i="304"/>
  <c r="I25" i="304"/>
  <c r="I21" i="304"/>
  <c r="I17" i="304"/>
  <c r="I13" i="304"/>
  <c r="I8" i="304"/>
  <c r="I96" i="304"/>
  <c r="I92" i="304"/>
  <c r="I88" i="304"/>
  <c r="I84" i="304"/>
  <c r="I80" i="304"/>
  <c r="I76" i="304"/>
  <c r="I72" i="304"/>
  <c r="I68" i="304"/>
  <c r="I93" i="304"/>
  <c r="I89" i="304"/>
  <c r="I85" i="304"/>
  <c r="I81" i="304"/>
  <c r="I77" i="304"/>
  <c r="I73" i="304"/>
  <c r="I69" i="304"/>
  <c r="I66" i="304"/>
  <c r="I62" i="304"/>
  <c r="I58" i="304"/>
  <c r="I54" i="304"/>
  <c r="I50" i="304"/>
  <c r="I46" i="304"/>
  <c r="I42" i="304"/>
  <c r="I38" i="304"/>
  <c r="I34" i="304"/>
  <c r="I30" i="304"/>
  <c r="I26" i="304"/>
  <c r="I22" i="304"/>
  <c r="I18" i="304"/>
  <c r="I14" i="304"/>
  <c r="I10" i="304"/>
  <c r="I63" i="304"/>
  <c r="I59" i="304"/>
  <c r="I55" i="304"/>
  <c r="I51" i="304"/>
  <c r="I47" i="304"/>
  <c r="I43" i="304"/>
  <c r="I39" i="304"/>
  <c r="I35" i="304"/>
  <c r="I31" i="304"/>
  <c r="I27" i="304"/>
  <c r="I23" i="304"/>
  <c r="I19" i="304"/>
  <c r="I15" i="304"/>
  <c r="I11" i="304"/>
  <c r="I9" i="304"/>
  <c r="E54" i="302"/>
  <c r="E76" i="302"/>
  <c r="G54" i="302"/>
  <c r="E14" i="302" s="1"/>
  <c r="G76" i="302"/>
  <c r="E17" i="302" s="1"/>
  <c r="E101" i="300"/>
  <c r="I96" i="300"/>
  <c r="I92" i="300"/>
  <c r="I88" i="300"/>
  <c r="I84" i="300"/>
  <c r="I80" i="300"/>
  <c r="I76" i="300"/>
  <c r="I72" i="300"/>
  <c r="I68" i="300"/>
  <c r="I64" i="300"/>
  <c r="I60" i="300"/>
  <c r="I56" i="300"/>
  <c r="I52" i="300"/>
  <c r="I48" i="300"/>
  <c r="I44" i="300"/>
  <c r="I40" i="300"/>
  <c r="I36" i="300"/>
  <c r="I32" i="300"/>
  <c r="I28" i="300"/>
  <c r="I24" i="300"/>
  <c r="I20" i="300"/>
  <c r="I16" i="300"/>
  <c r="I12" i="300"/>
  <c r="I8" i="300"/>
  <c r="I95" i="300"/>
  <c r="I91" i="300"/>
  <c r="I87" i="300"/>
  <c r="I83" i="300"/>
  <c r="I79" i="300"/>
  <c r="I75" i="300"/>
  <c r="I71" i="300"/>
  <c r="I67" i="300"/>
  <c r="I63" i="300"/>
  <c r="I59" i="300"/>
  <c r="I55" i="300"/>
  <c r="I51" i="300"/>
  <c r="I47" i="300"/>
  <c r="I43" i="300"/>
  <c r="I39" i="300"/>
  <c r="I35" i="300"/>
  <c r="I31" i="300"/>
  <c r="I27" i="300"/>
  <c r="I23" i="300"/>
  <c r="I19" i="300"/>
  <c r="I15" i="300"/>
  <c r="I9" i="300"/>
  <c r="I65" i="300"/>
  <c r="I57" i="300"/>
  <c r="I49" i="300"/>
  <c r="I41" i="300"/>
  <c r="I33" i="300"/>
  <c r="I25" i="300"/>
  <c r="I17" i="300"/>
  <c r="I94" i="300"/>
  <c r="I90" i="300"/>
  <c r="I86" i="300"/>
  <c r="I82" i="300"/>
  <c r="I78" i="300"/>
  <c r="I74" i="300"/>
  <c r="I70" i="300"/>
  <c r="I66" i="300"/>
  <c r="I62" i="300"/>
  <c r="I58" i="300"/>
  <c r="I54" i="300"/>
  <c r="I50" i="300"/>
  <c r="I46" i="300"/>
  <c r="I42" i="300"/>
  <c r="I38" i="300"/>
  <c r="I34" i="300"/>
  <c r="I30" i="300"/>
  <c r="I26" i="300"/>
  <c r="I22" i="300"/>
  <c r="I18" i="300"/>
  <c r="I14" i="300"/>
  <c r="I10" i="300"/>
  <c r="I11" i="300"/>
  <c r="I93" i="300"/>
  <c r="I89" i="300"/>
  <c r="I85" i="300"/>
  <c r="I81" i="300"/>
  <c r="I77" i="300"/>
  <c r="I73" i="300"/>
  <c r="I69" i="300"/>
  <c r="I61" i="300"/>
  <c r="I53" i="300"/>
  <c r="I45" i="300"/>
  <c r="I37" i="300"/>
  <c r="I29" i="300"/>
  <c r="I21" i="300"/>
  <c r="I13" i="300"/>
</calcChain>
</file>

<file path=xl/comments1.xml><?xml version="1.0" encoding="utf-8"?>
<comments xmlns="http://schemas.openxmlformats.org/spreadsheetml/2006/main">
  <authors>
    <author>Juan José Javier Jara</author>
    <author>Lenovo User</author>
  </authors>
  <commentList>
    <comment ref="M6" authorId="0">
      <text>
        <r>
          <rPr>
            <b/>
            <sz val="8"/>
            <color indexed="81"/>
            <rFont val="Tahoma"/>
            <family val="2"/>
          </rPr>
          <t>Juan José Javier Jara:</t>
        </r>
        <r>
          <rPr>
            <sz val="8"/>
            <color indexed="81"/>
            <rFont val="Tahoma"/>
            <family val="2"/>
          </rPr>
          <t xml:space="preserve">
Cuadro N° 5 y 6 de Resolución OSINERGMIN N° 057-2012-OS/CD (ponderadores)
Cuadro N° 7: Resolucion OSINERGMIN Nº 057-2012-OS/CD (Valores Base de Precio de los Combustibles)
Caso Barra Aislada Eilhicha:
(*) Se requiere su existencia el 01/05/2012 idéntico a Adinelsa - Aislado (no afecto a variación de combustibles).
El reporte de precios de Petroperú indica "el precio del combustible utilizado para las generadores electricas".
</t>
        </r>
        <r>
          <rPr>
            <u/>
            <sz val="8"/>
            <color indexed="81"/>
            <rFont val="Tahoma"/>
            <family val="2"/>
          </rPr>
          <t xml:space="preserve">Precio Diesel SEIN (Lista de Petroperú) Lima y Callao
</t>
        </r>
        <r>
          <rPr>
            <sz val="8"/>
            <color indexed="81"/>
            <rFont val="Tahoma"/>
            <family val="2"/>
          </rPr>
          <t xml:space="preserve">
El Precio actualizado para el caso del Diesel (SEIN) a partir del 04/08/2012 conforme a los criterios del Oficio GART 541-2012-GART. Para el detalle de los criterios de aplicación (precio + ISC respectivo), ver rango: ResumenIndicadores!B53:I81
 Para el detalle de los criterios de aplicación del ISC Diesel (precio + ISC respectivo) después del 07/08/2012, ver rango: ResumenIndicadores!B53:I81 (SEIN Lima Callao Diesel 2; y ElectroSur Este Cusco Diesel 2)
Lista de precios de Petroperú (referencias exactas)
Hoja1 (Sein Residual), 
Addendum1 (Sein Diesel) y 
Addendum4 (Aislados)
</t>
        </r>
        <r>
          <rPr>
            <u/>
            <sz val="8"/>
            <color indexed="81"/>
            <rFont val="Tahoma"/>
            <family val="2"/>
          </rPr>
          <t>Sobre el IPM</t>
        </r>
        <r>
          <rPr>
            <sz val="8"/>
            <color indexed="81"/>
            <rFont val="Tahoma"/>
            <family val="2"/>
          </rPr>
          <t xml:space="preserve">
Consultar en el diario el Peruano del 1er dia de cada mes
181-2009-OS/CD (DDE):
Índice  de  precios  al  por  mayor,  publicado  por  el  Instituto  Nacional  de Estadística e Informática. Se tomará el valor del mes de la última publicación oficial disponible al último día hábil del mes anterior a aquel en que las tarifas resultantes serán aplicadas
057-2012-OC/CD (GEN / SPT): 
Índice  de  Precios  al  Por  Mayor,  publicado  por  el Instituto Nacional de Estadística e Informática. Se tomará el valor del último mes, publicado en el Diario Oficial El Peruano
</t>
        </r>
      </text>
    </comment>
    <comment ref="C23" authorId="1">
      <text>
        <r>
          <rPr>
            <b/>
            <sz val="8"/>
            <color indexed="81"/>
            <rFont val="Tahoma"/>
            <family val="2"/>
          </rPr>
          <t>Lenovo User:</t>
        </r>
        <r>
          <rPr>
            <sz val="8"/>
            <color indexed="81"/>
            <rFont val="Tahoma"/>
            <family val="2"/>
          </rPr>
          <t xml:space="preserve">
Se inserta el FA del PNG</t>
        </r>
      </text>
    </comment>
    <comment ref="M25" authorId="0">
      <text>
        <r>
          <rPr>
            <b/>
            <sz val="8"/>
            <color indexed="81"/>
            <rFont val="Tahoma"/>
            <family val="2"/>
          </rPr>
          <t>Juan José Javier Jara:</t>
        </r>
        <r>
          <rPr>
            <sz val="8"/>
            <color indexed="81"/>
            <rFont val="Tahoma"/>
            <family val="2"/>
          </rPr>
          <t xml:space="preserve">
Resolución OSINERGMIN N° 057-2012-OS/CD (ponderadores) +  Última Resolución que regula el factor "p"
(*) La variable "p" se actualiza trimestralmente.
En el caso del Cargo Unitario por Compensación por Seguridad de Suministro, la variable p = FAPEM*DP/550.204 según Res. 057-2012-OS/CD constituyendo una variable endógena.
DP: potencia de unidades duales
Ultimo comunicado de potencia de unidades duales (valor DP) fue: http://www2.osinerg.gob.pe/PreciosReferencia/pdf/2010/Diciembre/Potencia_Efectiva_Unidades_Duales(DP).PDF
Sobre el IPM
Consultar en el diario el Peruano del 1er dia de cada mes
181-2009-OS/CD (DDE):
Índice  de  precios  al  por  mayor,  publicado  por  el  Instituto  Nacional  de Estadística e Informática. Se tomará el valor del mes de la última publicación oficial disponible al último día hábil del mes anterior a aquel en que las tarifas resultantes serán aplicadas
057-2012-OC/CD (GEN y SPT): 
Índice  de  Precios  al  Por  Mayor,  publicado  por  el Instituto Nacional de Estadística e Informática. Se tomará el valor del último mes, publicado en el Diario Oficial El Peruano</t>
        </r>
      </text>
    </comment>
    <comment ref="M61" authorId="0">
      <text>
        <r>
          <rPr>
            <b/>
            <sz val="8"/>
            <color indexed="81"/>
            <rFont val="Tahoma"/>
            <family val="2"/>
          </rPr>
          <t>Juan José Javier Jara:</t>
        </r>
        <r>
          <rPr>
            <sz val="8"/>
            <color indexed="81"/>
            <rFont val="Tahoma"/>
            <family val="2"/>
          </rPr>
          <t xml:space="preserve">
Resoluciones 189-2009-OS/CD y modificatorias que regulan los ponderadores del F.A. (279-2009-OS/CD).
(*) En el caso de SCT Transmantaro: Variable Base de la Fórmula de Actualización (V.Resolución) se encuentra en la Res. 076-2011-OS/CD, modificados mediante Res. 121-2011-OS/CD.
Caso Transmantaro y Peaje Unitario por Compensación PUC
(*) Valores Base en Res. 076-2011-OS/CD, Res. 059-2012-OS/CD. Fórmula de Actualización en Res. 121-2011-OS/CD, Última actualización en Res. 130-2012-OS/CD, Res 169-2012-OS/CD (PUC Ago 2012)
FA_PUC: Factor determinado conforme a lo dispuesto por la norma “Procedimiento de Aplicación del Artículo 4° del Decreto Supremo N° 048-2008-EM” aprobada por Resolución OSINERGMIN N° 288-2009-OS/CD. Penúltimo vigente a partir del 1 de mayo del 2012 mediante Res. 079-2012-OS/CD
Sobre el IPM
Consultar en el diario el Peruano del 1er dia de cada mes</t>
        </r>
      </text>
    </comment>
    <comment ref="M87" authorId="0">
      <text>
        <r>
          <rPr>
            <b/>
            <sz val="8"/>
            <color indexed="81"/>
            <rFont val="Tahoma"/>
            <family val="2"/>
          </rPr>
          <t>Juan José Javier Jara:</t>
        </r>
        <r>
          <rPr>
            <sz val="8"/>
            <color indexed="81"/>
            <rFont val="Tahoma"/>
            <family val="2"/>
          </rPr>
          <t xml:space="preserve">
Ponderadores de la Resolución 181-2009 OS/CD y 234-2010 OS/CD
FACCSP:
Cargo Comercial del Servicio Prepago (Resolución N° 442-2006-OS/CD): 
a) Está en función de la actualización de distribución.
b) El IPM del 28 del mes anterior a las tarifas del 01/05/2012 (mes t) corresponde al IPM publicado el 01/04/2012 (IPM Marzo 2012) (mes t-2)
c) Actualiza el costo de reposición de las tarjetas inteligentes
d) La actualización del cargo comercial del servicio prepago de electricidad y el costo de reposición de la tarjeta inteligente se realizará en la misma oportunidad que la actualización del VAD.
Tasa arancelaria:
La tasa: 8539.32.00.00 fue modificado por Decreto Supremo N° 279-2010-EF. Referencia: para las tarifas de enero 2011 era 9%
Sobre el IPM
Consultar en el diario el Peruano del 1er dia de cada mes
181-2009-OS/CD (DDE):
Índice  de  precios  al  por  mayor,  publicado  por  el  Instituto  Nacional  de Estadística e Informática. Se tomará el valor del mes de la última publicación oficial disponible al último día hábil del mes anterior a aquel en que las tarifas resultantes serán aplicadas
057-2012-OC/CD (GEN y SPT): 
Índice  de  Precios  al  Por  Mayor,  publicado  por  el Instituto Nacional de Estadística e Informática. Se tomará el valor del último mes, publicado en el Diario Oficial El Peruano</t>
        </r>
      </text>
    </comment>
    <comment ref="M128" authorId="0">
      <text>
        <r>
          <rPr>
            <b/>
            <sz val="8"/>
            <color indexed="81"/>
            <rFont val="Tahoma"/>
            <family val="2"/>
          </rPr>
          <t>Juan José Javier Jara:</t>
        </r>
        <r>
          <rPr>
            <sz val="8"/>
            <color indexed="81"/>
            <rFont val="Tahoma"/>
            <family val="2"/>
          </rPr>
          <t xml:space="preserve">
Tasa Arancelaria (TA) para el rubro de Productos Importados Inicial (Resolucion OSINERGMIN N° 153-2011-OS/CD)
Sobre el IPM
Consultar en el diario el Peruano del 1er dia de cada mes
181-2009-OS/CD (DDE):
Índice  de  precios  al  por  mayor,  publicado  por  el  Instituto  Nacional  de Estadística e Informática. Se tomará el valor del mes de la última publicación oficial disponible al último día hábil del mes anterior a aquel en que las tarifas resultantes serán aplicadas
057-2012-OC/CD (GEN y SPT): 
Índice  de  Precios  al  Por  Mayor,  publicado  por  el Instituto Nacional de Estadística e Informática. Se tomará el valor del último mes, publicado en el Diario Oficial El Peruano
Tasas arancelarias (observación)
Partida: 8535.30.00.00  ... Ídem la partida (4) del VAD</t>
        </r>
      </text>
    </comment>
    <comment ref="M144" authorId="0">
      <text>
        <r>
          <rPr>
            <b/>
            <sz val="8"/>
            <color indexed="81"/>
            <rFont val="Tahoma"/>
            <family val="2"/>
          </rPr>
          <t>Juan José Javier Jara:</t>
        </r>
        <r>
          <rPr>
            <sz val="8"/>
            <color indexed="81"/>
            <rFont val="Tahoma"/>
            <family val="2"/>
          </rPr>
          <t xml:space="preserve">
CORTE Y RECONEXIÓN - Resolución OSINERGMIN Nº 159-2011-OS/CD
Sobre el IPM
Consultar en el diario el Peruano del 1er dia de cada mes
181-2009-OS/CD (DDE):
Índice  de  precios  al  por  mayor,  publicado  por  el  Instituto  Nacional  de Estadística e Informática. Se tomará el valor del mes de la última publicación oficial disponible al último día hábil del mes anterior a aquel en que las tarifas resultantes serán aplicadas
057-2012-OC/CD (GEN Y SPT): 
Índice  de  Precios  al  Por  Mayor,  publicado  por  el Instituto Nacional de Estadística e Informática. Se tomará el valor del último mes, publicado en el Diario Oficial El Peruano</t>
        </r>
      </text>
    </comment>
  </commentList>
</comments>
</file>

<file path=xl/sharedStrings.xml><?xml version="1.0" encoding="utf-8"?>
<sst xmlns="http://schemas.openxmlformats.org/spreadsheetml/2006/main" count="3007" uniqueCount="737">
  <si>
    <t>IPM</t>
  </si>
  <si>
    <t>Valores Base</t>
  </si>
  <si>
    <t>a</t>
  </si>
  <si>
    <t>b</t>
  </si>
  <si>
    <t>Valores Actuales</t>
  </si>
  <si>
    <t>Sistema</t>
  </si>
  <si>
    <t>l</t>
  </si>
  <si>
    <t>m</t>
  </si>
  <si>
    <t>Variación</t>
  </si>
  <si>
    <t>Descripción</t>
  </si>
  <si>
    <t>Fecha</t>
  </si>
  <si>
    <t>TC (S/./US$)</t>
  </si>
  <si>
    <t>Edelnor</t>
  </si>
  <si>
    <t>Seal</t>
  </si>
  <si>
    <t>Electrocentro</t>
  </si>
  <si>
    <t>FPMtp</t>
  </si>
  <si>
    <t>FTCtp</t>
  </si>
  <si>
    <t>FPMts</t>
  </si>
  <si>
    <t>FTCts</t>
  </si>
  <si>
    <t>Pcu (ctv. US$/lb)</t>
  </si>
  <si>
    <t xml:space="preserve">Pal </t>
  </si>
  <si>
    <t>Transmisión Principal</t>
  </si>
  <si>
    <t>n</t>
  </si>
  <si>
    <t>o</t>
  </si>
  <si>
    <t>SPT de REP</t>
  </si>
  <si>
    <t>SPT de Eteselva</t>
  </si>
  <si>
    <t>SPT de Antamina</t>
  </si>
  <si>
    <t>SPT de San Gabán</t>
  </si>
  <si>
    <t>1. POTENCIA (FAPPM)</t>
  </si>
  <si>
    <t>2. ENERGÍA (FAPEM)</t>
  </si>
  <si>
    <t>SEIN</t>
  </si>
  <si>
    <t>Adinelsa</t>
  </si>
  <si>
    <t>Chavimochic</t>
  </si>
  <si>
    <t>Electro Oriente</t>
  </si>
  <si>
    <t>Electro Sur Este</t>
  </si>
  <si>
    <t>Electro Ucayali</t>
  </si>
  <si>
    <t>Electronorte</t>
  </si>
  <si>
    <t>Hidrandina</t>
  </si>
  <si>
    <t>1. VALOR AGREGADO DE DISTRIBUCIÓN EN MT (FAVADMT)</t>
  </si>
  <si>
    <t xml:space="preserve">           a) Sector 1</t>
  </si>
  <si>
    <t xml:space="preserve">           b) Sector 2</t>
  </si>
  <si>
    <t xml:space="preserve">           c) Sector 3</t>
  </si>
  <si>
    <t xml:space="preserve">           d) Sector 4</t>
  </si>
  <si>
    <t xml:space="preserve">           e) Sector 5</t>
  </si>
  <si>
    <t xml:space="preserve">           f) Sector Especial</t>
  </si>
  <si>
    <t>2. VALOR AGREGADO DE DISTRIBUCIÓN EN BT (FAVADBT)</t>
  </si>
  <si>
    <t>FPGN</t>
  </si>
  <si>
    <t>FCB</t>
  </si>
  <si>
    <t>FD2SEIN</t>
  </si>
  <si>
    <t>FR6SEIN</t>
  </si>
  <si>
    <t>PGN (S/./MMBtu)</t>
  </si>
  <si>
    <t>FOBCB (US$/tn)</t>
  </si>
  <si>
    <t>Punto de venta</t>
  </si>
  <si>
    <t>R6 (S/./gl)</t>
  </si>
  <si>
    <t>ISC_R6 (S/./Galón)</t>
  </si>
  <si>
    <t>Lima (Callao)</t>
  </si>
  <si>
    <t>Iquitos</t>
  </si>
  <si>
    <t>Callao</t>
  </si>
  <si>
    <t>Cusco</t>
  </si>
  <si>
    <t>Los Menores</t>
  </si>
  <si>
    <t>ISC</t>
  </si>
  <si>
    <t>D2 (S/./gl)</t>
  </si>
  <si>
    <t>ISC_D2 (S/./Galón)</t>
  </si>
  <si>
    <t>G1</t>
  </si>
  <si>
    <t>G2</t>
  </si>
  <si>
    <t>G4</t>
  </si>
  <si>
    <t>d</t>
  </si>
  <si>
    <t>e</t>
  </si>
  <si>
    <t>f</t>
  </si>
  <si>
    <t>g</t>
  </si>
  <si>
    <t>s</t>
  </si>
  <si>
    <t>cb</t>
  </si>
  <si>
    <t>IPCu (ctv.US$/lb)</t>
  </si>
  <si>
    <t>IPAl (US$/tn)</t>
  </si>
  <si>
    <t>AMT</t>
  </si>
  <si>
    <t>BMT</t>
  </si>
  <si>
    <t>CMT</t>
  </si>
  <si>
    <t>DMT</t>
  </si>
  <si>
    <t>ABT</t>
  </si>
  <si>
    <t>BBT</t>
  </si>
  <si>
    <t>CBT</t>
  </si>
  <si>
    <t>DBT</t>
  </si>
  <si>
    <t>Variación (%)</t>
  </si>
  <si>
    <t>Precios de referencia OSINERGMIN</t>
  </si>
  <si>
    <t>PPVn - Lista Petroperú</t>
  </si>
  <si>
    <t>Mes</t>
  </si>
  <si>
    <t>IPCu</t>
  </si>
  <si>
    <t>Sistema de Transmisión</t>
  </si>
  <si>
    <t>FAPCSPT</t>
  </si>
  <si>
    <t>Actualizado</t>
  </si>
  <si>
    <t>SPT de Redesur</t>
  </si>
  <si>
    <t>SPT de Transmantaro</t>
  </si>
  <si>
    <t>SPT de ISA</t>
  </si>
  <si>
    <t>Sector 1</t>
  </si>
  <si>
    <t>Sector 2</t>
  </si>
  <si>
    <t>Sector 3</t>
  </si>
  <si>
    <t>Sector 4</t>
  </si>
  <si>
    <t>Sector 5</t>
  </si>
  <si>
    <t>Sector Especial</t>
  </si>
  <si>
    <t>8471.30.00.00</t>
  </si>
  <si>
    <t>8517.11.00.00</t>
  </si>
  <si>
    <t>8535.30.00.00</t>
  </si>
  <si>
    <t>8539.32.00.00</t>
  </si>
  <si>
    <t>9028.30.10.00</t>
  </si>
  <si>
    <t>Codigo</t>
  </si>
  <si>
    <t>Área de Demanda</t>
  </si>
  <si>
    <t>c</t>
  </si>
  <si>
    <t>Titular</t>
  </si>
  <si>
    <t>Instalaciones</t>
  </si>
  <si>
    <t>REDESUR</t>
  </si>
  <si>
    <t>SST Tacna - Transf. 220/66/10 kV; 50 MVA</t>
  </si>
  <si>
    <t>ISA-PERÚ</t>
  </si>
  <si>
    <t>SST  Aguaytía – Pucallpa, S.E. Aguaytía 220/60/10kV, S.E. Pucallpa 138/60/10kV, Reactor 8MVAR</t>
  </si>
  <si>
    <t>EDEGEL</t>
  </si>
  <si>
    <t>CONENHUA</t>
  </si>
  <si>
    <t>SST Celda de Transformación 220 kV - S.E. Cajamarquilla</t>
  </si>
  <si>
    <t>SST LT Trujillo Norte - Cajamarca Norte 60 kV, Transformador 220/60/10 kV S.E. Cajamarca Norte</t>
  </si>
  <si>
    <t>Otras Instalaciones- Edegel</t>
  </si>
  <si>
    <t>Otras Instalaciones- Conenhua</t>
  </si>
  <si>
    <t>Pco (ctv. US$/lb)</t>
  </si>
  <si>
    <t>Cuadro 5.5.- FORMULAS DE ACTUALIZACION DE LOS SST DE EDEGEL Y CONENHUA</t>
  </si>
  <si>
    <t>Cuadro 5.3.- FORMULAS DE ACTUALIZACION DE LOS SST DE ISA Y REDESUR (BOOT)</t>
  </si>
  <si>
    <t>Instalaciones BOOT - Redesur</t>
  </si>
  <si>
    <t>Instalaciones BOOT - ISA Peru</t>
  </si>
  <si>
    <t>FPALtp</t>
  </si>
  <si>
    <t>FPCUtp</t>
  </si>
  <si>
    <t>FPCUts</t>
  </si>
  <si>
    <t>FPALts</t>
  </si>
  <si>
    <t>Área de Demanda 1</t>
  </si>
  <si>
    <t>Área de Demanda 2</t>
  </si>
  <si>
    <t>Área de Demanda 3</t>
  </si>
  <si>
    <t>Área de Demanda 4</t>
  </si>
  <si>
    <t>Área de Demanda 5</t>
  </si>
  <si>
    <t>Área de Demanda 6</t>
  </si>
  <si>
    <t>Área de Demanda 7</t>
  </si>
  <si>
    <t>Área de Demanda 8</t>
  </si>
  <si>
    <t>Área de Demanda 9</t>
  </si>
  <si>
    <t>Área de Demanda 10</t>
  </si>
  <si>
    <t>Área de Demanda 11</t>
  </si>
  <si>
    <t>Área de Demanda 12</t>
  </si>
  <si>
    <t>Área de Demanda 13</t>
  </si>
  <si>
    <t>Área de Demanda 14</t>
  </si>
  <si>
    <t>Área de Demanda 15</t>
  </si>
  <si>
    <t>SER 100% Estado Prepago</t>
  </si>
  <si>
    <t>SER 100% Estado Convencional</t>
  </si>
  <si>
    <t>SER 100% Empresa Prepago</t>
  </si>
  <si>
    <t>ASED</t>
  </si>
  <si>
    <t>BSED</t>
  </si>
  <si>
    <t>CSED</t>
  </si>
  <si>
    <t>PARTIDA</t>
  </si>
  <si>
    <t>8504.21.90.00</t>
  </si>
  <si>
    <t>8704.21.10.10</t>
  </si>
  <si>
    <t>TA</t>
  </si>
  <si>
    <t>TABMT</t>
  </si>
  <si>
    <t>TABBT</t>
  </si>
  <si>
    <t>TABSED</t>
  </si>
  <si>
    <t>Convencional</t>
  </si>
  <si>
    <t>100% Estado</t>
  </si>
  <si>
    <t>Prepago</t>
  </si>
  <si>
    <t>100% Empresa</t>
  </si>
  <si>
    <t xml:space="preserve">           g) VAD SER 100 Estado Prepago</t>
  </si>
  <si>
    <t xml:space="preserve">           h) VAD SER 100 Estado Convencional</t>
  </si>
  <si>
    <t xml:space="preserve">           i) VAD SER 100 Empresa Prepago</t>
  </si>
  <si>
    <t xml:space="preserve">           j) VAD SER 100 Empresa Convencional</t>
  </si>
  <si>
    <t>DSED</t>
  </si>
  <si>
    <t>G3</t>
  </si>
  <si>
    <t>Actividad</t>
  </si>
  <si>
    <t>Límite</t>
  </si>
  <si>
    <t>Regulada</t>
  </si>
  <si>
    <t>Inferior</t>
  </si>
  <si>
    <t>Superior</t>
  </si>
  <si>
    <t>Generación SEIN</t>
  </si>
  <si>
    <t>Transmisión Secundaria</t>
  </si>
  <si>
    <t>Distribución</t>
  </si>
  <si>
    <t>Resolucion Base</t>
  </si>
  <si>
    <t xml:space="preserve"> SPT de REP  </t>
  </si>
  <si>
    <t xml:space="preserve"> SPT de Eteselva  </t>
  </si>
  <si>
    <t xml:space="preserve"> SPT de Antamina  </t>
  </si>
  <si>
    <t xml:space="preserve"> SPT de San Gabán  </t>
  </si>
  <si>
    <t xml:space="preserve"> SPT de Redesur  </t>
  </si>
  <si>
    <t xml:space="preserve"> SPT de Transmantaro  </t>
  </si>
  <si>
    <t xml:space="preserve"> SPT de ISA  </t>
  </si>
  <si>
    <t>IPAl</t>
  </si>
  <si>
    <t>COBRE</t>
  </si>
  <si>
    <t>ALUMINIO</t>
  </si>
  <si>
    <t>Cogeneración Paramonga</t>
  </si>
  <si>
    <t>C.H. Poechos 2</t>
  </si>
  <si>
    <t>C.H. Carhuaquero IV</t>
  </si>
  <si>
    <t>C.H. Caña Brava</t>
  </si>
  <si>
    <t>C.H. La Joya</t>
  </si>
  <si>
    <t>Usuarios Regulados</t>
  </si>
  <si>
    <t>C.H. Roncador</t>
  </si>
  <si>
    <t>Área Demanda</t>
  </si>
  <si>
    <t>FA</t>
  </si>
  <si>
    <t>DISTRIBUIDORAS</t>
  </si>
  <si>
    <t>GENERADORAS</t>
  </si>
  <si>
    <t>ADIL, ELNO</t>
  </si>
  <si>
    <t>ELP, REP</t>
  </si>
  <si>
    <t>ADIL, ELN</t>
  </si>
  <si>
    <t>REP, DEPO</t>
  </si>
  <si>
    <t>CHAV, ELNM</t>
  </si>
  <si>
    <t>ETEN, REP</t>
  </si>
  <si>
    <t>ELOR</t>
  </si>
  <si>
    <t>GSMA</t>
  </si>
  <si>
    <t>ADIL, ELC, ELP</t>
  </si>
  <si>
    <t>REP, CAND, CONE, ELAN</t>
  </si>
  <si>
    <t>ADIL, EDLN, ELNM</t>
  </si>
  <si>
    <t xml:space="preserve">REP, CAHU </t>
  </si>
  <si>
    <t>EDCA, LDS</t>
  </si>
  <si>
    <t>REP</t>
  </si>
  <si>
    <t>ADIL, COEL, ELSM, SEAL</t>
  </si>
  <si>
    <t>ISA, REP</t>
  </si>
  <si>
    <t>ELS, SEAL</t>
  </si>
  <si>
    <t>CONE, EGAS, REP</t>
  </si>
  <si>
    <t>ELSE</t>
  </si>
  <si>
    <t>EGEM, REP</t>
  </si>
  <si>
    <t>ELPU</t>
  </si>
  <si>
    <t>ELS</t>
  </si>
  <si>
    <t>ENER, SOUT</t>
  </si>
  <si>
    <t>EGES</t>
  </si>
  <si>
    <t>ELUC</t>
  </si>
  <si>
    <t>Factor</t>
  </si>
  <si>
    <t>Acumulado MT</t>
  </si>
  <si>
    <t>ADINELSA</t>
  </si>
  <si>
    <t/>
  </si>
  <si>
    <t>ELECTRONOROESTE</t>
  </si>
  <si>
    <t>ELECTROPERÚ</t>
  </si>
  <si>
    <t>TOTAL ÁREA</t>
  </si>
  <si>
    <t>DEPOLTI</t>
  </si>
  <si>
    <t>ELECTRONORTE</t>
  </si>
  <si>
    <t>CHAVIMOCHIC</t>
  </si>
  <si>
    <t>ETENORTE</t>
  </si>
  <si>
    <t>HIDRANDINA</t>
  </si>
  <si>
    <t>ELECTRO ORIENTE</t>
  </si>
  <si>
    <t>GOB. REG. SAN MARTIN</t>
  </si>
  <si>
    <t>CEMENTO ANDINO</t>
  </si>
  <si>
    <t>ELECTROANDES</t>
  </si>
  <si>
    <t>ELECTROCENTRO</t>
  </si>
  <si>
    <t>CAHUA</t>
  </si>
  <si>
    <t>EDELNOR</t>
  </si>
  <si>
    <t>REP_AdicRAG</t>
  </si>
  <si>
    <t>EDECAÑETE</t>
  </si>
  <si>
    <t>LUZ DEL SUR</t>
  </si>
  <si>
    <t>COELVISAC</t>
  </si>
  <si>
    <t>ELECTRO SUR MEDIO</t>
  </si>
  <si>
    <t>SEAL</t>
  </si>
  <si>
    <t>EGASA</t>
  </si>
  <si>
    <t>ELECTROSUR</t>
  </si>
  <si>
    <t>EGEMSA</t>
  </si>
  <si>
    <t>ELECTRO SUR ESTE</t>
  </si>
  <si>
    <t>ELECTRO PUNO</t>
  </si>
  <si>
    <t>ENERSUR</t>
  </si>
  <si>
    <t>SOUTHERN PERÚ</t>
  </si>
  <si>
    <t>EGESUR</t>
  </si>
  <si>
    <t>ELECTRO UCAYALI</t>
  </si>
  <si>
    <t>FPMdP</t>
  </si>
  <si>
    <t>FPMdE</t>
  </si>
  <si>
    <t xml:space="preserve"> a de Demanda  </t>
  </si>
  <si>
    <t xml:space="preserve"> </t>
  </si>
  <si>
    <t>Diesel 2+ISC (S/./gl) - Callao</t>
  </si>
  <si>
    <t>Residual+ISC (S/./gl.) - Callao</t>
  </si>
  <si>
    <t>Diesel 2+ISC (S/./gl) - El Milagro</t>
  </si>
  <si>
    <t>Diesel 2+ISC (S/./gl) - Iquitos</t>
  </si>
  <si>
    <t>Residual+ISC (S/./gl.) - Iquitos</t>
  </si>
  <si>
    <t>Diesel 2+ISC (S/./gl) - Cusco</t>
  </si>
  <si>
    <t>TA Cobre</t>
  </si>
  <si>
    <t>TA Aluminio</t>
  </si>
  <si>
    <t>Variable</t>
  </si>
  <si>
    <t>Diferencia</t>
  </si>
  <si>
    <t>D B5 (S/./gl)</t>
  </si>
  <si>
    <t>Ajuste</t>
  </si>
  <si>
    <t>Diesel B5+ISC (S/./gl) - Callao</t>
  </si>
  <si>
    <t>Diesel B5+ISC (S/./gl) - El Milagro</t>
  </si>
  <si>
    <t>Diesel B5+ISC (S/./gl) - Iquitos</t>
  </si>
  <si>
    <t>Diesel B5+ISC (S/./gl) - Cusco</t>
  </si>
  <si>
    <t>Variación respecto al mes pasado</t>
  </si>
  <si>
    <t>Hidrandina, Seal</t>
  </si>
  <si>
    <t>PCSPT + PTSGT (S/./kW-mes)</t>
  </si>
  <si>
    <t>C.H. Santa Cruz II</t>
  </si>
  <si>
    <t>C.H. Santa Cruz I</t>
  </si>
  <si>
    <t>C. H. Purmacana</t>
  </si>
  <si>
    <t>(Art. 1ro.)</t>
  </si>
  <si>
    <t>(Art. 2do.)</t>
  </si>
  <si>
    <t>(Art. 1ro +2do.)</t>
  </si>
  <si>
    <t xml:space="preserve">Sistemas Eléctricos a los que se aplica el cargo   </t>
  </si>
  <si>
    <t>Tacna, Tomasiri, Yarada y Tarata</t>
  </si>
  <si>
    <t>Pucallpa, Campo Verde</t>
  </si>
  <si>
    <t xml:space="preserve">SST Aguaytía-Pucallpa, S.E. Aguaytía 220/138/22,9 kV, S.E. Pucallpa 138/60/10 kV, Reactor 8 MVAR </t>
  </si>
  <si>
    <t>http://www2.osinerg.gob.pe/PreciosReferencia/pdf/2010/Diciembre/Potencia_Efectiva_Unidades_Duales(DP).PDF</t>
  </si>
  <si>
    <t>1] El cargo CPSEE se aplica únicamente a los sistemas eléctricos indicados y no a toda el Área de Demanda en la que se encuentran.</t>
  </si>
  <si>
    <t>[2] Los cargos correspondientes a estas instalaciones son el resultado de la liquidación anual de los respectivos contratos BOOT.</t>
  </si>
  <si>
    <t>http://www.aduanet.gob.pe/itarancel/arancelS01Alias</t>
  </si>
  <si>
    <t>Valor Base</t>
  </si>
  <si>
    <t>1. PRESUPUESTOS Y CARGOS DE REPOSICIÓN DE LA CONEXIÓN</t>
  </si>
  <si>
    <t>Para conexiones</t>
  </si>
  <si>
    <t>a) Conexiones en Baja Tensión - C1/C2</t>
  </si>
  <si>
    <t>b) Conexiones en Baja Tensión - C3/C4</t>
  </si>
  <si>
    <t>c) Conexiones Básicas en Media Tensión (PMI y Celda) - C5</t>
  </si>
  <si>
    <t>d) Otros Elementos Electromecánicos en Media Tensión - C5</t>
  </si>
  <si>
    <t>e) Vereda, Murete, Mástil y Protección de Estructuras - C1/C2/C3/C4/C5</t>
  </si>
  <si>
    <t>Para cambio a conexión prepago</t>
  </si>
  <si>
    <t>Para costos por metro de cable</t>
  </si>
  <si>
    <t>2. MANTENIMIENTO DE LA CONEXIÓN</t>
  </si>
  <si>
    <t>b) Conexiones en Baja y Media Tensión  (PMI y Celda) - C3/C4/C5</t>
  </si>
  <si>
    <t>a) Corte y Reconexión</t>
  </si>
  <si>
    <t>7413.00.00.00</t>
  </si>
  <si>
    <t>7614.90.00.00</t>
  </si>
  <si>
    <t>TC</t>
  </si>
  <si>
    <t>APC</t>
  </si>
  <si>
    <t>BPC</t>
  </si>
  <si>
    <t>CPC</t>
  </si>
  <si>
    <t>DPC</t>
  </si>
  <si>
    <t>FAPC(1)</t>
  </si>
  <si>
    <t>FAPC(2)</t>
  </si>
  <si>
    <t>FAPC(3)</t>
  </si>
  <si>
    <t>FAPC(4)</t>
  </si>
  <si>
    <t>FAPC(5)</t>
  </si>
  <si>
    <t>FAPC(6)</t>
  </si>
  <si>
    <t>FAPC(7)</t>
  </si>
  <si>
    <t>ACM</t>
  </si>
  <si>
    <t>BCM</t>
  </si>
  <si>
    <t>CCM</t>
  </si>
  <si>
    <t>DCM</t>
  </si>
  <si>
    <t>FACM(1)</t>
  </si>
  <si>
    <t>FACM(2)</t>
  </si>
  <si>
    <t>Generación Aislada</t>
  </si>
  <si>
    <t xml:space="preserve">Variable </t>
  </si>
  <si>
    <t>Precio + ISC</t>
  </si>
  <si>
    <t>Indicadores Macroeconómicos de la Distribucion (Parte 1)</t>
  </si>
  <si>
    <t>Tarifario +/-</t>
  </si>
  <si>
    <t>aplicable</t>
  </si>
  <si>
    <t>Donde:</t>
  </si>
  <si>
    <t>Ft-1 = Factor empleado en la última actualización</t>
  </si>
  <si>
    <t>Ft    = Factor calculado en la presente evaluación</t>
  </si>
  <si>
    <t xml:space="preserve">       = Factor ratificado en la evaluación del mes anterior</t>
  </si>
  <si>
    <t>Ft</t>
  </si>
  <si>
    <t>Ft-1</t>
  </si>
  <si>
    <t xml:space="preserve">Factor que motiva ajuste </t>
  </si>
  <si>
    <t>Aplicable</t>
  </si>
  <si>
    <t>Fecha del indicador  === &gt;</t>
  </si>
  <si>
    <t>Al</t>
  </si>
  <si>
    <t>Resolución 057-2012-OS/CD</t>
  </si>
  <si>
    <t>ISA</t>
  </si>
  <si>
    <t>Línea Independencia-Ica</t>
  </si>
  <si>
    <t>C.T. Huaycoloro</t>
  </si>
  <si>
    <t>C.H. Huasahuasi I</t>
  </si>
  <si>
    <t>C.H. Huasahuasi II</t>
  </si>
  <si>
    <t>C.H. Nuevo Imperial</t>
  </si>
  <si>
    <t>Línea Chilca -Zapallal (Tramos 1 y 2)</t>
  </si>
  <si>
    <t xml:space="preserve">Líneas Carhuamayo - Cajamarca 220 kV (Tramos 1, 2, 3 y4) y SVC-Cajamarca </t>
  </si>
  <si>
    <t>Cargo Unitario por Generación Adicional</t>
  </si>
  <si>
    <t>Cargo Unitario por CVOA-CMg (*)</t>
  </si>
  <si>
    <t>Cargo Unitario por CVOA-RSC (*)</t>
  </si>
  <si>
    <t>SST Tacna (Los Héroes) - Transf. 220/66/10 kV; 50 MVA [2]</t>
  </si>
  <si>
    <t>Valores Base en Res. 076-2011-OS/CD, Res. 059-2012-OS/CD. Fórmula de Actualización en Res. 121-2011-OS/CD.</t>
  </si>
  <si>
    <t>SCT de Transmantaro</t>
  </si>
  <si>
    <t>TC (S/./US$) (*)</t>
  </si>
  <si>
    <t>SCT de Transmantaro (Linea Independencia - Ica)</t>
  </si>
  <si>
    <t>FIGV (Resoluciones OSINERGMIN N° 182-2009-OS/CD)</t>
  </si>
  <si>
    <t>FACCSP (Cargo Comercial del Servicio Prepago) Res. 442-2006-OS/CD</t>
  </si>
  <si>
    <t>www.bcrp.gob.pe/docs/Estadisticas/Cuadros-Estadisticos/NC_058.xls</t>
  </si>
  <si>
    <t>http://www.sbs.gob.pe/app/stats/tc-cv.asp</t>
  </si>
  <si>
    <t>http://www.petroperu.com.pe/portalweb/Main.asp?Seccion=4</t>
  </si>
  <si>
    <t>http://www2.osinerg.gob.pe/PreciosReferencia/TarPreciosReferencia_2012.html</t>
  </si>
  <si>
    <t>IMPACTO DEL PRECIO DE LOS COMBUSTIBLES</t>
  </si>
  <si>
    <t>Var. %</t>
  </si>
  <si>
    <t>Resolución 184-2009-OS/CD</t>
  </si>
  <si>
    <t>Resolución 181-2009-OS/CD</t>
  </si>
  <si>
    <t>ELSM, HDN, Seal</t>
  </si>
  <si>
    <t>Por actividad</t>
  </si>
  <si>
    <t>Variación respecto al último ajuste</t>
  </si>
  <si>
    <t>IPM Pre Pago</t>
  </si>
  <si>
    <t>Eilhicha</t>
  </si>
  <si>
    <t>(*) Actualización de Precios en Barra y alineación de criterios: Caso SEIN (Precio de Referencia del Diesel)</t>
  </si>
  <si>
    <t>- Para el caso del SEIN, mediante Oficio GART 541-2012-GART dirigido a Edelnor con fecha 07/08/2012.</t>
  </si>
  <si>
    <t>- En este oficio, se establecen qué Precio de Referencia del Diesel se utilizará en las fórmulas de reajuste en los contratos (licitaciones)</t>
  </si>
  <si>
    <t>- En resumen, el precio a utilizarse correspondería al valor del Addendum N° 1 de la lista de Petroperú.</t>
  </si>
  <si>
    <t xml:space="preserve"> - Al 04/08/2012 no existe un precio de referencia del Diesel 2 en la Hoja 1 de la Lista de Precios de Petroperú.</t>
  </si>
  <si>
    <t>- Se han recibido correos  solicitando un precio de referencia del Diesel para la actualización de barra, pese a que su ponderador SEIN es cero.</t>
  </si>
  <si>
    <t>- A fin de alinear criterios, el precio Diesel a utilizarse en la actualización de barra, correspondería al valor del Addendum N° 1 de la lista de Petro.</t>
  </si>
  <si>
    <t>(*) Actualización de Precios de Contratos resultantes de procesos de licitación de suministro: Caso SEIN (Precio de Referencia Diesel)</t>
  </si>
  <si>
    <t>- Ello es consistente con la definición prevista para esta variable ISC_D2 en el Cuadro 6 de la Res. de Barra 057-2012-OS/CD:</t>
  </si>
  <si>
    <t>(*) Implicancias del ISC del Diesel SEIN y Aislados ante el Nuevo Precio Diesel B5 en la evaluación realizada para el 04/09/2012</t>
  </si>
  <si>
    <t>- El Precio del Diesel del Addendum 1 y del Addendum 4 tiene otro ISC (distinto al de los fijados incialmente)</t>
  </si>
  <si>
    <t>- Para efectos de la referencia, se está considerando los impuestos del combustible de referencia (Addendum 1 - SEIN) y (Addendum 4 - Aislados).</t>
  </si>
  <si>
    <t>FTC</t>
  </si>
  <si>
    <t>FPM</t>
  </si>
  <si>
    <t>Ponderadores</t>
  </si>
  <si>
    <t>CONEXIÓN y MANTENIMIENTO</t>
  </si>
  <si>
    <t>Ley de Procedimiento Administrativo General, Ley N° 27444 – art. 134° y 139°</t>
  </si>
  <si>
    <t>Resolución de Barra N° 057-2012-OS/CD - Artículo 2°, Subtítulo 2.</t>
  </si>
  <si>
    <t>Resolución del VAD n° 181-2009-OS/CD - Artículo 5°</t>
  </si>
  <si>
    <t>Precio a Nivel Generación</t>
  </si>
  <si>
    <t>http://www.elperuano.pe/PublicacionNLB/normaslegales/wfrmNormasBuscar.aspx</t>
  </si>
  <si>
    <t>Cargo por Prima</t>
  </si>
  <si>
    <t>p</t>
  </si>
  <si>
    <t>Cargo por Garantía (SGT)</t>
  </si>
  <si>
    <t>SEIN (Potencia)</t>
  </si>
  <si>
    <t>SEIN (Energía)</t>
  </si>
  <si>
    <t>Áreas de Demanda: Cuadro 4.2 FORMULAS DE ACTUALIZACION</t>
  </si>
  <si>
    <t>a) Conexiones en Baja Tensión - C1/C2 (Conexiones Aéreas, Subterráneas, Subterráneas Múltiples y Mixtas en Baja Tensión)</t>
  </si>
  <si>
    <t>b) Conexiones en Baja y Media Tensión  (PMI y Celda) - C3/C4/C5 (Conexiones Aéreas, Mixtas y Subterráneas en Baja Tensión Conexiones en Media Tensión (PMI y Celda))</t>
  </si>
  <si>
    <t>FAIM(1)</t>
  </si>
  <si>
    <t>Corte y Reconexión</t>
  </si>
  <si>
    <t>Reposición y Mantenimiento</t>
  </si>
  <si>
    <t>Presupuesto de la conexión</t>
  </si>
  <si>
    <t>IPM / IPMo</t>
  </si>
  <si>
    <t>Instalac.
BOOT</t>
  </si>
  <si>
    <t>Índices Componentes de los Factores de Actualización</t>
  </si>
  <si>
    <t>FD2</t>
  </si>
  <si>
    <t>FR6</t>
  </si>
  <si>
    <t>Variables actualizadas</t>
  </si>
  <si>
    <t>Variables fijadas en la Resolución</t>
  </si>
  <si>
    <t>IPMo</t>
  </si>
  <si>
    <t>TCo</t>
  </si>
  <si>
    <t>Ponderadores de los Factores de Actualización establecidos por Resolución</t>
  </si>
  <si>
    <t>Factor "p" establecido por Resolución</t>
  </si>
  <si>
    <t>ISC_D2(S/./Galón)</t>
  </si>
  <si>
    <t>Generación (Pondedadores)</t>
  </si>
  <si>
    <t>T.Principal (Ponderadores)</t>
  </si>
  <si>
    <t>T.Secundaria (Ponderadores)</t>
  </si>
  <si>
    <t>Generación (Componentes)</t>
  </si>
  <si>
    <t>T.Principal (Componentes)</t>
  </si>
  <si>
    <t>T.Secundaria (Componentes)</t>
  </si>
  <si>
    <t>Generación (V.actuales)</t>
  </si>
  <si>
    <t>T.Principal (V.actuales)</t>
  </si>
  <si>
    <t>T.Secundaria (V.actuales)</t>
  </si>
  <si>
    <t>Generación (V.Resolución)</t>
  </si>
  <si>
    <t>T.Principal (V.Resolución)</t>
  </si>
  <si>
    <t>T.Secundaria (V.Resolución)</t>
  </si>
  <si>
    <t>Indicadores Macroeconómicos de la Transmision Secundaria (Parte 2)</t>
  </si>
  <si>
    <t>Indicadores Macroeconómicos de la Transmision Principal (Parte 2)</t>
  </si>
  <si>
    <t>Valores Base de combustibles</t>
  </si>
  <si>
    <t>Valores Actuales de Combustibles</t>
  </si>
  <si>
    <t>[IPCu/IPCuo]*[TC/TCo]*[(1+TACu)/(1+TACuo)]</t>
  </si>
  <si>
    <t>[IPAl/IPAlo]*[TC/TCo]*[(1+TAAl)/(1+TAAlo)]</t>
  </si>
  <si>
    <t>[TC/TCo]*[(1+TA)/(1+TAo)]</t>
  </si>
  <si>
    <t>Distribución (Ponderadores)</t>
  </si>
  <si>
    <t>Distribución (Componentes)</t>
  </si>
  <si>
    <t>Distribución (V.actuales)</t>
  </si>
  <si>
    <t>Distribución (V.Resolución)</t>
  </si>
  <si>
    <t>TC / TCo</t>
  </si>
  <si>
    <t>IPMprepagod / IPMprepago(o)</t>
  </si>
  <si>
    <t>Indicadores Macroeconómicos de la Generación</t>
  </si>
  <si>
    <t>Indicadores Macroeconómicos de PrePago</t>
  </si>
  <si>
    <t>Conexión (Componentes)</t>
  </si>
  <si>
    <t>Conexión (Ponderadores)</t>
  </si>
  <si>
    <t>Conexión (V.actuales)</t>
  </si>
  <si>
    <t>Conexión (V.Resolución)</t>
  </si>
  <si>
    <t>Indicadores Macroeconómicos de Conexión</t>
  </si>
  <si>
    <t>(8) Cobre</t>
  </si>
  <si>
    <t>(9) Aluminio</t>
  </si>
  <si>
    <t>Indicadores Macroeconómicos de Corte y Reconexión</t>
  </si>
  <si>
    <t>9028.30.90.00</t>
  </si>
  <si>
    <t>(1) VAD</t>
  </si>
  <si>
    <t>(2) VAD</t>
  </si>
  <si>
    <t>(3) VAD</t>
  </si>
  <si>
    <t>(5) VAD</t>
  </si>
  <si>
    <t>(6) VAD</t>
  </si>
  <si>
    <t>(7) VAD</t>
  </si>
  <si>
    <t>(10) Conexión 1</t>
  </si>
  <si>
    <t>(4) VAD</t>
  </si>
  <si>
    <t>(11) Conexión 2</t>
  </si>
  <si>
    <t>Resolucion del Peaje Unitario de Compensación (PUC)</t>
  </si>
  <si>
    <t>PUC</t>
  </si>
  <si>
    <t>Peaje Unitario por Compensación</t>
  </si>
  <si>
    <t>Cargo Unitario por Compensación por Seguridad de Suministro</t>
  </si>
  <si>
    <t>Cargo Unitario por CVOA-CMg</t>
  </si>
  <si>
    <t>Cargo Unitario por CVOA-RSC</t>
  </si>
  <si>
    <t>FA_PUC añadido en Áreas SST 6 y 7)</t>
  </si>
  <si>
    <t>3. VALOR AGREGADO DE DISTRIBUCIÓN EN SUBESTACIONES MT/BT (FASED)</t>
  </si>
  <si>
    <t xml:space="preserve">4. CARGOS FIJOS </t>
  </si>
  <si>
    <t>5. ENERGÍA REACTIVA (FACER)</t>
  </si>
  <si>
    <t>1. Media Tensión (MT)</t>
  </si>
  <si>
    <t>2. Baja Tensión (BT)</t>
  </si>
  <si>
    <t>3. Sub Estaciones de Distribución (SED)</t>
  </si>
  <si>
    <t>4. Cargos Fijos (Componentes)</t>
  </si>
  <si>
    <t>5. E.Reactiva (Componentes)</t>
  </si>
  <si>
    <t>6. PrePago (Componentes)</t>
  </si>
  <si>
    <t xml:space="preserve">CARGOS FIJOS </t>
  </si>
  <si>
    <t>ENERGÍA REACTIVA (FACER)</t>
  </si>
  <si>
    <t>Multiplicativo del Factor "p", DP/550.204</t>
  </si>
  <si>
    <t>DP (Último Comunicado GART)</t>
  </si>
  <si>
    <t>Multiplicativo del factor "p" del CUCSS</t>
  </si>
  <si>
    <t>Variables del FAPPM, el cual está como Multiplicativo en el factor "p" de actualización del Cargo Unitario por Compensación de Seguridad de Suministro (CUCSS)</t>
  </si>
  <si>
    <t>G1 - Electronorte</t>
  </si>
  <si>
    <t>G2 - Electro Oriente</t>
  </si>
  <si>
    <t>G3 - Hidrandina, Seal</t>
  </si>
  <si>
    <t>G4 - Electro Sur Este</t>
  </si>
  <si>
    <t>Denominador (por Resolución)</t>
  </si>
  <si>
    <t>TAo</t>
  </si>
  <si>
    <t>Tasa arancelaria por partida arancelaria</t>
  </si>
  <si>
    <t>TENSIÓN</t>
  </si>
  <si>
    <t>PPM</t>
  </si>
  <si>
    <t>PEMP</t>
  </si>
  <si>
    <t>PEMF</t>
  </si>
  <si>
    <t>kV</t>
  </si>
  <si>
    <t>S/./kW-mes</t>
  </si>
  <si>
    <t>ctm. S/./kW.h</t>
  </si>
  <si>
    <t>Zorritos</t>
  </si>
  <si>
    <t>Talara</t>
  </si>
  <si>
    <t>Piura Oeste</t>
  </si>
  <si>
    <t>Chiclayo Oeste</t>
  </si>
  <si>
    <t>Carhuaquero</t>
  </si>
  <si>
    <t>Cutervo</t>
  </si>
  <si>
    <t>Jaen</t>
  </si>
  <si>
    <t>Guadalupe</t>
  </si>
  <si>
    <t>Cajamarca</t>
  </si>
  <si>
    <t>Trujillo Norte</t>
  </si>
  <si>
    <t>Chimbote 1</t>
  </si>
  <si>
    <t>Paramonga Nueva</t>
  </si>
  <si>
    <t>Paramonga Existente</t>
  </si>
  <si>
    <t>Huacho</t>
  </si>
  <si>
    <t>Zapallal</t>
  </si>
  <si>
    <t>Ventanilla</t>
  </si>
  <si>
    <t>Lima</t>
  </si>
  <si>
    <t>Cantera</t>
  </si>
  <si>
    <t>Chilca</t>
  </si>
  <si>
    <t>Independencia</t>
  </si>
  <si>
    <t>Ica</t>
  </si>
  <si>
    <t>Marcona</t>
  </si>
  <si>
    <t>Mantaro</t>
  </si>
  <si>
    <t>Huayucachi</t>
  </si>
  <si>
    <t>Pachachaca</t>
  </si>
  <si>
    <t>Pomacocha</t>
  </si>
  <si>
    <t>Huancavelica</t>
  </si>
  <si>
    <t>Callahuanca</t>
  </si>
  <si>
    <t>Cajamarquilla</t>
  </si>
  <si>
    <t>Huallanca</t>
  </si>
  <si>
    <t>Vizcarra</t>
  </si>
  <si>
    <t>Tingo María</t>
  </si>
  <si>
    <t>Aguaytía</t>
  </si>
  <si>
    <t>Pucallpa</t>
  </si>
  <si>
    <t>Aucayacu</t>
  </si>
  <si>
    <t>Tocache</t>
  </si>
  <si>
    <t>Huánuco</t>
  </si>
  <si>
    <t>Paragsha II</t>
  </si>
  <si>
    <t>Paragsha</t>
  </si>
  <si>
    <t>Yaupi</t>
  </si>
  <si>
    <t>Yuncan</t>
  </si>
  <si>
    <t>Oroya Nueva</t>
  </si>
  <si>
    <t>Carhuamayo</t>
  </si>
  <si>
    <t>Carhuamayo Nueva</t>
  </si>
  <si>
    <t>Caripa</t>
  </si>
  <si>
    <t>Desierto</t>
  </si>
  <si>
    <t>Condorcocha</t>
  </si>
  <si>
    <t>Machupicchu</t>
  </si>
  <si>
    <t>Cachimayo</t>
  </si>
  <si>
    <t>Combapata</t>
  </si>
  <si>
    <t>Tintaya</t>
  </si>
  <si>
    <t>Ayaviri</t>
  </si>
  <si>
    <t>Azángaro</t>
  </si>
  <si>
    <t>San Gaban</t>
  </si>
  <si>
    <t>Mazuco</t>
  </si>
  <si>
    <t>Puerto Maldonado</t>
  </si>
  <si>
    <t>Juliaca</t>
  </si>
  <si>
    <t>Puno</t>
  </si>
  <si>
    <t>Callalli</t>
  </si>
  <si>
    <t>Santuario</t>
  </si>
  <si>
    <t>Arequipa</t>
  </si>
  <si>
    <t>Socabaya</t>
  </si>
  <si>
    <t>Cerro Verde</t>
  </si>
  <si>
    <t>Repartición</t>
  </si>
  <si>
    <t>Mollendo</t>
  </si>
  <si>
    <t>Montalvo</t>
  </si>
  <si>
    <t>Ilo ELP</t>
  </si>
  <si>
    <t>Botiflaca</t>
  </si>
  <si>
    <t>Toquepala</t>
  </si>
  <si>
    <t>Aricota</t>
  </si>
  <si>
    <t>Tacna (Los Héroes)</t>
  </si>
  <si>
    <t>MT</t>
  </si>
  <si>
    <t>La Nina</t>
  </si>
  <si>
    <t>PPM+PCSPT</t>
  </si>
  <si>
    <t>PEMP + CPSEE</t>
  </si>
  <si>
    <t>PEMF + CPSEE</t>
  </si>
  <si>
    <t>Valor actual</t>
  </si>
  <si>
    <t>Corte y Reconexión (Componentes)</t>
  </si>
  <si>
    <t>Corte y Reconexión (V.actuales)</t>
  </si>
  <si>
    <t>Corte y Reconexión (V.Resolución)</t>
  </si>
  <si>
    <t>TACNX</t>
  </si>
  <si>
    <t>TA / TAo</t>
  </si>
  <si>
    <t>CPSEE : Cargo de Peaje Secundario por Transmisión Equivalente en Energía</t>
  </si>
  <si>
    <t>PEAJES DE CONEXIÓN A LOS SISTEMAS SECUNDARIOS DE TRANSMISIÓN (SST)</t>
  </si>
  <si>
    <t>PEAJES DE CONEXIÓN AL SISTEMA PRINCIPAL DE TRANSMISIÓN (PCSPT)</t>
  </si>
  <si>
    <t>FIJACIÓN AL 04/noviembre/2012</t>
  </si>
  <si>
    <t>Sistema Eléctrico Interconectado Nacional - Res. PNG (Cuadro 1)</t>
  </si>
  <si>
    <t>Sistema Eléctrico Interconectado Nacional - Res. Barra (Cuadro 1)</t>
  </si>
  <si>
    <t>FIJACIÓN AL 01/mayo/2012</t>
  </si>
  <si>
    <t>FA_PNGt =</t>
  </si>
  <si>
    <t>Adinelsa =</t>
  </si>
  <si>
    <t>Chavimochic =</t>
  </si>
  <si>
    <t>Edelnor =</t>
  </si>
  <si>
    <t>Eilhicha =</t>
  </si>
  <si>
    <t>Electro Oriente =</t>
  </si>
  <si>
    <t>Electro Sur Este =</t>
  </si>
  <si>
    <t>Electro Ucayali =</t>
  </si>
  <si>
    <t>Electrocentro =</t>
  </si>
  <si>
    <t>Electronorte =</t>
  </si>
  <si>
    <t>Hidrandina =</t>
  </si>
  <si>
    <t>Seal =</t>
  </si>
  <si>
    <t>FA_PE_PBarraSEINt =</t>
  </si>
  <si>
    <t>FA_PP_PBarraSEINt =</t>
  </si>
  <si>
    <t>PCSPT (S/./kW-mes)t =</t>
  </si>
  <si>
    <t>PRECIOS EN BARRA DEL SEIN, PRECIOS EN BARRA Y PRECIOS EFECTIVOS DE SISTEMAS AISLADOS</t>
  </si>
  <si>
    <t>Sistemas Aislados - Res. Barra (Cuadro 1) - Precios en Barra</t>
  </si>
  <si>
    <t>Sistemas Aislados - Res. Barra (Cuadro 10) - Precios Efectivos</t>
  </si>
  <si>
    <t>PRECIO A NIVEL DE GENERACIÓN</t>
  </si>
  <si>
    <t>Fórmulas de Actualización de los Precios en Barra del SEIN</t>
  </si>
  <si>
    <t>Fórmulas de Actualización de los Precios en Barra de los Sistemas Aislados</t>
  </si>
  <si>
    <t>Fórmulas de Actualización de los Precios en Barra Efectivos de los Sistemas Aislados</t>
  </si>
  <si>
    <t>Peaje de Conexión al Sistema Principal de Transmisión</t>
  </si>
  <si>
    <t>CPSEE  (ctm. S/./kW.h)t =</t>
  </si>
  <si>
    <t>CPSEE para Para Pucallpa 60 kV</t>
  </si>
  <si>
    <t>CPSEE Para Aricota 66 kV y Tacna (Los Héroes) 66 kV</t>
  </si>
  <si>
    <t>Factor de Actualización (FA) del PNG</t>
  </si>
  <si>
    <t>FA del Precio Potencia del Precio en Barra del SEIN</t>
  </si>
  <si>
    <t>FA del Precio Energía del Precio en Barra del SEIN</t>
  </si>
  <si>
    <t>Variables para actualizar los Precios en Barra (Pbarra) y Precios Efectivos (Pefectivos) de los Sistemas Aislados</t>
  </si>
  <si>
    <t>Fórmulas de Actualización del Precio a Nivel de Generación del SEIN</t>
  </si>
  <si>
    <t>Factores de Expansión de Pérdidas Medias Media Tension (Potencia y Energía)</t>
  </si>
  <si>
    <t>Costos Variables de Operación Adicional en Generación</t>
  </si>
  <si>
    <t>Cargo Unitario por Compensación por Seguridad de Suministro (CUCSS)</t>
  </si>
  <si>
    <t>TIPO DE CAMBIO</t>
  </si>
  <si>
    <r>
      <t xml:space="preserve">Mes </t>
    </r>
    <r>
      <rPr>
        <b/>
        <vertAlign val="subscript"/>
        <sz val="12"/>
        <color rgb="FFFF0000"/>
        <rFont val="Arial"/>
        <family val="2"/>
      </rPr>
      <t>t-2</t>
    </r>
  </si>
  <si>
    <r>
      <t xml:space="preserve">Mes </t>
    </r>
    <r>
      <rPr>
        <b/>
        <vertAlign val="subscript"/>
        <sz val="12"/>
        <color rgb="FFFF0000"/>
        <rFont val="Arial"/>
        <family val="2"/>
      </rPr>
      <t>t-1</t>
    </r>
  </si>
  <si>
    <t>Titular de Transmisión/ Barra-Tensión/ Sistemas Eléctricos[1]/ Instalaciones</t>
  </si>
  <si>
    <t>PEAJE EN MT POR ÁREA DE DEMANDA (ctm. S/./kWh)</t>
  </si>
  <si>
    <t>PEAJE ACUMULADO EN MT POR ÁREA DE DEMANDA (ctm. S/./kWh)</t>
  </si>
  <si>
    <t>Acumulado en MT (Ctm. S/./kWh)</t>
  </si>
  <si>
    <t>Factor de Actualización</t>
  </si>
  <si>
    <t>Acumulado MT (Actualizado)</t>
  </si>
  <si>
    <t>Factores de Actualización Tarifaria</t>
  </si>
  <si>
    <t>AT (1/)</t>
  </si>
  <si>
    <t xml:space="preserve">MAT  </t>
  </si>
  <si>
    <t xml:space="preserve">AT  </t>
  </si>
  <si>
    <t xml:space="preserve">MT  </t>
  </si>
  <si>
    <t>Acumulado</t>
  </si>
  <si>
    <t>Factores para compras</t>
  </si>
  <si>
    <t>Resolución OSINERGMIN Nº 184-2009-OS/CD-Cuadro 5.1 (Pag. 227). Incluye Resolución Nº 058-2012-OS/CD</t>
  </si>
  <si>
    <t>TASAS ARANCELARIAS</t>
  </si>
  <si>
    <t>Precios OSINERGMIN</t>
  </si>
  <si>
    <t>Diesel B2 (S/./gl)</t>
  </si>
  <si>
    <t>Residual 6 (S/./gl)</t>
  </si>
  <si>
    <t>Gas Natural (US$/MMBtu)</t>
  </si>
  <si>
    <t>Gas Natural (S/./MMBtu)</t>
  </si>
  <si>
    <t>Carbón (US$/tn)</t>
  </si>
  <si>
    <t>Precios Petroperú</t>
  </si>
  <si>
    <t>ISC Diesel 2 (S/./Galón)</t>
  </si>
  <si>
    <t>ISC Residual 6 (S/./Galón)</t>
  </si>
  <si>
    <t>Impuesto Selectivo al Consumo (ISC)</t>
  </si>
  <si>
    <t>Menor Precio + ISC</t>
  </si>
  <si>
    <t>Menor Precio</t>
  </si>
  <si>
    <t>PRECIOS DE PETROPERÚ</t>
  </si>
  <si>
    <t>PRECIOS DE OSINERGMIN</t>
  </si>
  <si>
    <t>Fuente BCRP (Nota Semanal - Cuadro 58)</t>
  </si>
  <si>
    <t>INDICADORES (1): ALUMINIO, COBRE, IPM, TIPO DE CAMBIO</t>
  </si>
  <si>
    <t>INDICADORES (2): COMBUSTIBLES</t>
  </si>
  <si>
    <t>INDICADORES (3): TASAS ARANCELARIAS DEL VAD Y LA CONEXIÓN</t>
  </si>
  <si>
    <t>Promedio de las últimas 52 semanas terminando en la cuarta semana de dos meses antes de la aplicación</t>
  </si>
  <si>
    <t>Último día hábil del mes anterior</t>
  </si>
  <si>
    <t>Fuente: Revista Platts Metals week (LME HG Cash Week Avg)</t>
  </si>
  <si>
    <t>Promedio de los últimos doce meses hasta dos meses antes de la aplicación</t>
  </si>
  <si>
    <t>Week Avg (US$/tn)</t>
  </si>
  <si>
    <t>PCSPT =</t>
  </si>
  <si>
    <t>ÍNDICE DE PRECIOS AL POR MAYOR (IPM)</t>
  </si>
  <si>
    <t>Primer día del mes en el Diario El Peruano</t>
  </si>
  <si>
    <t>Día Viernes de la Semana</t>
  </si>
  <si>
    <t>IPCu - Tarifas (US$/lb)</t>
  </si>
  <si>
    <t>Error</t>
  </si>
  <si>
    <t>Base (Res. Barra)</t>
  </si>
  <si>
    <t>Base (Última Resolución)</t>
  </si>
  <si>
    <t>Mes anterior ==&gt;</t>
  </si>
  <si>
    <t>Plantas</t>
  </si>
  <si>
    <t>ISC (Soles/Galón)</t>
  </si>
  <si>
    <t>Precios Netos Petroperú</t>
  </si>
  <si>
    <t>Combustible</t>
  </si>
  <si>
    <t xml:space="preserve">Petróleo Industrial N° 6 </t>
  </si>
  <si>
    <t>Precio (Soles/Galón)</t>
  </si>
  <si>
    <t>Impuesto aplicable (ISC)</t>
  </si>
  <si>
    <t>Addendum 1</t>
  </si>
  <si>
    <t>Addendum 4</t>
  </si>
  <si>
    <t>Diesel B5 G.E.</t>
  </si>
  <si>
    <t>Diesel B5 
S-50 G.E.</t>
  </si>
  <si>
    <t>Diesel B5 
S-50</t>
  </si>
  <si>
    <t>Petróleo Industrial 6 G.E.</t>
  </si>
  <si>
    <t>Precios de Referencia para Tarifas en Barra ==&gt;</t>
  </si>
  <si>
    <t>Precio de Referencia Ponderado de Combustible (Soles/galón)</t>
  </si>
  <si>
    <t>Precio de Referencia de carbón</t>
  </si>
  <si>
    <t>PPI Eq. PCI Estándar</t>
  </si>
  <si>
    <t>Precio de Gas Natural</t>
  </si>
  <si>
    <t>Valor (US$/MMBtu)</t>
  </si>
  <si>
    <t>Promedio (US$/tn)</t>
  </si>
  <si>
    <t>Diesel B5 (Soles/Galón)</t>
  </si>
  <si>
    <t>Residual 6 (Soles/Galón)</t>
  </si>
  <si>
    <t>PGN</t>
  </si>
  <si>
    <t>Última lista de precios del mes anterior</t>
  </si>
  <si>
    <t>Promedio del Aluminio hasta</t>
  </si>
  <si>
    <t>Carbón (S/./tn)</t>
  </si>
  <si>
    <t>Lista de Precios de Combustibles ==&gt;</t>
  </si>
  <si>
    <t>Promedio del Cobre hasta</t>
  </si>
  <si>
    <t>Indicador aplicable</t>
  </si>
  <si>
    <t>Fuente</t>
  </si>
  <si>
    <t>Indicador actualizado</t>
  </si>
  <si>
    <t>Ponderadores de las Partida Arancelarias de la Conexión y Mantenimiento</t>
  </si>
  <si>
    <t>100% Estado Prepago</t>
  </si>
  <si>
    <t>100% Estado Convencional</t>
  </si>
  <si>
    <t>100% Privado Prepago</t>
  </si>
  <si>
    <t>100% Privado Convencional</t>
  </si>
  <si>
    <t xml:space="preserve"> Indicadores disponibles al segundo día calendario de cada mes</t>
  </si>
  <si>
    <t>Conformidad de factores y pliegos se da como máximo el segundo día calendario de cada mes</t>
  </si>
  <si>
    <t>Sin perjuicio de la entrada en vigencia (dos días calendario más) pues ello no requiere atención pública.</t>
  </si>
  <si>
    <t>Factor que motiva ajuste</t>
  </si>
  <si>
    <t>Precio en Barra-SEIN (Res. 057-2012-OS/CD)</t>
  </si>
  <si>
    <t>Precio en Barra-Aislados (Res. 057-2012-OS/CD)</t>
  </si>
  <si>
    <t>Transmision Principal (Res. 057-2012-OS/CD)</t>
  </si>
  <si>
    <t>Transmision Secundaria (Res. 184-2009-OS/CD)</t>
  </si>
  <si>
    <t>Distribución (Res. 181-2009-OS/CD)</t>
  </si>
  <si>
    <t>Tasa Arancelaria - Productos Importados (TABBT) (Res. 181-2009-OS/CD)</t>
  </si>
  <si>
    <t>RESUMEN DEL REAJUSTE TARIFARIO</t>
  </si>
  <si>
    <t>CALENDARIZACIÓN DE LOS PLIEGOS TARIFARIOS</t>
  </si>
  <si>
    <t>HISTÓRICO DE LOS FACTORES DE ACTUALIZACIÓN TARIFARIA</t>
  </si>
  <si>
    <t>Sistema Eléctrico Interconectado Nacional (SEIN)</t>
  </si>
  <si>
    <t>Sistemas Aislados</t>
  </si>
  <si>
    <t>C.2 DISTRIBUCIÓN - PRESUPUESTOS DE CONEXIÓN - Res. Nº 153-2011-OS/CD</t>
  </si>
  <si>
    <t>C.3. DISTRIBUCIÓN - CORTE Y RECONEXIÓN (FAIM) - Res. Nº 159-2011-OS/CD</t>
  </si>
  <si>
    <t>B2. Actualización de Peajes por Áreas de Demanda (Res. N° 184-2009-OS/CD)</t>
  </si>
  <si>
    <t>B1. TRANSMISIÓN PRINCIPAL - PEAJES (Res. N° 057-2012-OS/CD)</t>
  </si>
  <si>
    <t>FACCSP (Cargo Comercial del Servicio Prepago) Res. N° 442-2006-OS/CD</t>
  </si>
  <si>
    <t>A. GENERACIÓN - TARIFAS EN BARRA (Res. N° 057-2012-OS/CD)</t>
  </si>
  <si>
    <t>C.1 DISTRIBUCIÓN - VAD Y CARGOS FIJOS (Res. N° 181-2009-OS/CD)</t>
  </si>
  <si>
    <t>Variables para actualizar los Precios en Barra (Pbarra) del SEIN</t>
  </si>
  <si>
    <t>Variables para actualizar los Precio a Nivel de Generación (PNG) del SEIN</t>
  </si>
  <si>
    <t>Resolución OSINERGMIN Nº 184-2009-OS/CD modificado por R.279-2009 - Cuadro 4.1. Incluye Res. 059-2012-OS/CD, Res. 130-2012-OS/CD y Fe de Erratas del 28.06.2012, Res. 148-2012-OS/CD,Res 235-2012-OS/CD (factor "FA" del PUC Noviembre 2012 - Enero 2013)</t>
  </si>
  <si>
    <t>FA_PNG (Res. 234-2012-OS/CD)</t>
  </si>
  <si>
    <t>Resoluciones OSINERGMIN Nº 057-2012-OS/CD, Res. 115-2012-OS/CD (SPT de REP y Cargo Unitario por Generación Adicional), Res 235-2012-OS/CD (factor "p" Noviembre 2012 - Enero 2013)</t>
  </si>
  <si>
    <t>Resolución Nº 184-2009-OS/CD modificado por Resolución N° 279-2009-OS/CD (Factores Acumulados), Resolución 050-2011-OS/CD modificada por Resolución N° 229-2012-OS/CD (Factores para compras en AT)</t>
  </si>
  <si>
    <t>(1/) Para Referencia del criterio de cálculo de los Factores de Expansión de Pérdidas para Compras en AT, remitirse a los Artículos 13° y 26° de la Norma “Tarifas y Compensaciones para Sistemas Secundarios de Transmisión y Sistemas Complementarios de Transmisión, aprobada mediante Res. N° 050-2011-OS/CD y modificada mediante Res. N° 229-2012-OS/CD.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</si>
</sst>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164" formatCode="0.0%"/>
    <numFmt numFmtId="165" formatCode="General_)"/>
    <numFmt numFmtId="166" formatCode="#,##0.0000_);\(#,##0.0000\)"/>
    <numFmt numFmtId="167" formatCode="0.0000"/>
    <numFmt numFmtId="168" formatCode="0.000"/>
    <numFmt numFmtId="169" formatCode="0.000000"/>
    <numFmt numFmtId="170" formatCode="#,##0.000"/>
    <numFmt numFmtId="171" formatCode="#,##0.0000"/>
    <numFmt numFmtId="172" formatCode="0.00000"/>
    <numFmt numFmtId="173" formatCode="dd/mm/yyyy;@"/>
    <numFmt numFmtId="174" formatCode="0.00000000"/>
    <numFmt numFmtId="175" formatCode="0\,0000"/>
    <numFmt numFmtId="176" formatCode="#####\ ##0.00"/>
    <numFmt numFmtId="177" formatCode="_-* #,##0.00\ [$€]_-;\-* #,##0.00\ [$€]_-;_-* &quot;-&quot;??\ [$€]_-;_-@_-"/>
    <numFmt numFmtId="178" formatCode="&quot;US$&quot;#,##0.00;[Red]&quot;US$&quot;\-#,##0.00"/>
    <numFmt numFmtId="179" formatCode="&quot;US$&quot;#,##0;&quot;US$&quot;\-#,##0"/>
    <numFmt numFmtId="180" formatCode="&quot;US$&quot;#,##0.00;&quot;US$&quot;\-#,##0.00"/>
    <numFmt numFmtId="181" formatCode="_(* #,##0_);_(* \(#,##0\);_(* &quot;-&quot;??_);_(@_)"/>
    <numFmt numFmtId="182" formatCode="&quot;US$&quot;#,##0;[Red]&quot;US$&quot;\-#,##0"/>
    <numFmt numFmtId="183" formatCode="&quot;S/&quot;#,##0;&quot;S/&quot;\-#,##0"/>
    <numFmt numFmtId="184" formatCode="_ * #,##0_)_P_t_s_ ;_ * \(#,##0\)_P_t_s_ ;_ * &quot;-&quot;_)_P_t_s_ ;_ @_ "/>
    <numFmt numFmtId="185" formatCode="_(* #,##0.0000_);_(* \(#,##0.0000\);_(* &quot;-&quot;????_);_(@_)"/>
    <numFmt numFmtId="186" formatCode="_(* #,##0.00000_);_(* \(#,##0.00000\);_(* &quot;-&quot;??_);_(@_)"/>
    <numFmt numFmtId="187" formatCode="mmm\-yyyy"/>
    <numFmt numFmtId="188" formatCode="dd\ mmm\ yyyy"/>
    <numFmt numFmtId="189" formatCode="[$-F800]dddd\,\ mmmm\ dd\,\ yyyy"/>
    <numFmt numFmtId="190" formatCode="mmmm\-yyyy"/>
    <numFmt numFmtId="191" formatCode="dd/mm/yy"/>
  </numFmts>
  <fonts count="75">
    <font>
      <sz val="12"/>
      <name val="Arial MT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9"/>
      <color indexed="12"/>
      <name val="Arial MT"/>
    </font>
    <font>
      <sz val="12"/>
      <name val="Arial MT"/>
    </font>
    <font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indexed="20"/>
      <name val="Arial MT"/>
    </font>
    <font>
      <b/>
      <i/>
      <sz val="24"/>
      <name val="Arial"/>
      <family val="2"/>
    </font>
    <font>
      <sz val="8"/>
      <name val="Times New Roman"/>
      <family val="1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sz val="7"/>
      <name val="Small Fonts"/>
      <family val="2"/>
    </font>
    <font>
      <sz val="11"/>
      <name val="‚l‚r –¾’©"/>
      <charset val="128"/>
    </font>
    <font>
      <sz val="10"/>
      <name val="MS Sans Serif"/>
      <family val="2"/>
    </font>
    <font>
      <sz val="8"/>
      <name val="Helv"/>
    </font>
    <font>
      <b/>
      <sz val="8"/>
      <color indexed="8"/>
      <name val="Helv"/>
    </font>
    <font>
      <sz val="10"/>
      <name val="Arial"/>
      <family val="2"/>
    </font>
    <font>
      <sz val="14"/>
      <color indexed="10"/>
      <name val="Arial"/>
      <family val="2"/>
    </font>
    <font>
      <b/>
      <u/>
      <sz val="10"/>
      <name val="Arial"/>
      <family val="2"/>
    </font>
    <font>
      <sz val="11"/>
      <color indexed="59"/>
      <name val="Arial"/>
      <family val="2"/>
    </font>
    <font>
      <b/>
      <sz val="14"/>
      <color indexed="10"/>
      <name val="Arial"/>
      <family val="2"/>
    </font>
    <font>
      <sz val="8"/>
      <color rgb="FFFF0000"/>
      <name val="Arial"/>
      <family val="2"/>
    </font>
    <font>
      <u/>
      <sz val="12"/>
      <color indexed="12"/>
      <name val="Arial MT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indexed="12"/>
      <name val="Arial"/>
      <family val="2"/>
    </font>
    <font>
      <b/>
      <sz val="12"/>
      <color rgb="FFFF0000"/>
      <name val="Arial"/>
      <family val="2"/>
    </font>
    <font>
      <b/>
      <vertAlign val="subscript"/>
      <sz val="12"/>
      <color rgb="FFFF0000"/>
      <name val="Arial"/>
      <family val="2"/>
    </font>
    <font>
      <b/>
      <sz val="18"/>
      <name val="Arial"/>
      <family val="2"/>
    </font>
    <font>
      <b/>
      <sz val="12"/>
      <color indexed="20"/>
      <name val="Arial MT"/>
    </font>
    <font>
      <b/>
      <sz val="12"/>
      <name val="Arial MT"/>
    </font>
    <font>
      <b/>
      <sz val="12"/>
      <color rgb="FFFF0000"/>
      <name val="Arial MT"/>
    </font>
    <font>
      <b/>
      <sz val="12"/>
      <color indexed="20"/>
      <name val="Arial"/>
      <family val="2"/>
    </font>
    <font>
      <sz val="12"/>
      <color indexed="8"/>
      <name val="Arial"/>
      <family val="2"/>
    </font>
    <font>
      <b/>
      <u/>
      <sz val="12"/>
      <name val="Arial"/>
      <family val="2"/>
    </font>
    <font>
      <b/>
      <sz val="20"/>
      <color rgb="FFFF0000"/>
      <name val="Arial"/>
      <family val="2"/>
    </font>
    <font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28"/>
      <name val="Arial"/>
      <family val="2"/>
    </font>
    <font>
      <b/>
      <sz val="22"/>
      <name val="Arial"/>
      <family val="2"/>
    </font>
    <font>
      <u/>
      <sz val="8"/>
      <color indexed="81"/>
      <name val="Tahoma"/>
      <family val="2"/>
    </font>
    <font>
      <sz val="20"/>
      <name val="Arial"/>
      <family val="2"/>
    </font>
    <font>
      <sz val="16"/>
      <color rgb="FFFF0000"/>
      <name val="Arial"/>
      <family val="2"/>
    </font>
    <font>
      <sz val="12"/>
      <color rgb="FFFF0000"/>
      <name val="Arial"/>
      <family val="2"/>
    </font>
    <font>
      <b/>
      <i/>
      <sz val="22"/>
      <name val="Arial"/>
      <family val="2"/>
    </font>
    <font>
      <u/>
      <sz val="12"/>
      <name val="Arial MT"/>
    </font>
    <font>
      <sz val="12"/>
      <color theme="0"/>
      <name val="Arial"/>
      <family val="2"/>
    </font>
    <font>
      <u/>
      <sz val="11"/>
      <name val="Arial"/>
      <family val="2"/>
    </font>
    <font>
      <i/>
      <sz val="11"/>
      <name val="Arial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4"/>
      <color indexed="10"/>
      <name val="Arial Narrow"/>
      <family val="2"/>
    </font>
    <font>
      <b/>
      <sz val="14"/>
      <name val="Arial Narrow"/>
      <family val="2"/>
    </font>
    <font>
      <b/>
      <sz val="13"/>
      <name val="Arial Narrow"/>
      <family val="2"/>
    </font>
    <font>
      <sz val="13"/>
      <name val="Arial Narrow"/>
      <family val="2"/>
    </font>
    <font>
      <b/>
      <u/>
      <sz val="13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4.9989318521683403E-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lightGray">
        <bgColor theme="0" tint="-0.14996795556505021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165" fontId="0" fillId="0" borderId="0"/>
    <xf numFmtId="0" fontId="9" fillId="0" borderId="0"/>
    <xf numFmtId="0" fontId="23" fillId="0" borderId="0">
      <alignment horizontal="center" wrapText="1"/>
      <protection locked="0"/>
    </xf>
    <xf numFmtId="176" fontId="17" fillId="0" borderId="0" applyFill="0" applyBorder="0" applyAlignment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 applyNumberFormat="0" applyAlignment="0">
      <alignment horizontal="left"/>
    </xf>
    <xf numFmtId="0" fontId="27" fillId="0" borderId="0" applyNumberFormat="0" applyAlignment="0"/>
    <xf numFmtId="0" fontId="28" fillId="0" borderId="0" applyNumberFormat="0" applyAlignment="0">
      <alignment horizontal="left"/>
    </xf>
    <xf numFmtId="177" fontId="9" fillId="0" borderId="0" applyFont="0" applyFill="0" applyBorder="0" applyAlignment="0" applyProtection="0"/>
    <xf numFmtId="38" fontId="10" fillId="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10" fontId="10" fillId="3" borderId="3" applyNumberFormat="0" applyBorder="0" applyAlignment="0" applyProtection="0"/>
    <xf numFmtId="178" fontId="9" fillId="4" borderId="0"/>
    <xf numFmtId="178" fontId="9" fillId="5" borderId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37" fontId="29" fillId="0" borderId="0"/>
    <xf numFmtId="167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4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14" fontId="23" fillId="0" borderId="0">
      <alignment horizontal="center" wrapText="1"/>
      <protection locked="0"/>
    </xf>
    <xf numFmtId="10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7" fillId="0" borderId="0"/>
    <xf numFmtId="0" fontId="31" fillId="0" borderId="0" applyNumberFormat="0" applyFont="0" applyFill="0" applyBorder="0" applyAlignment="0" applyProtection="0">
      <alignment horizontal="left"/>
    </xf>
    <xf numFmtId="184" fontId="17" fillId="0" borderId="0" applyNumberFormat="0" applyFill="0" applyBorder="0" applyAlignment="0" applyProtection="0">
      <alignment horizontal="left"/>
    </xf>
    <xf numFmtId="38" fontId="32" fillId="0" borderId="0"/>
    <xf numFmtId="40" fontId="33" fillId="0" borderId="0" applyBorder="0">
      <alignment horizontal="right"/>
    </xf>
    <xf numFmtId="0" fontId="16" fillId="0" borderId="0"/>
    <xf numFmtId="0" fontId="1" fillId="0" borderId="0"/>
  </cellStyleXfs>
  <cellXfs count="847">
    <xf numFmtId="165" fontId="0" fillId="0" borderId="0" xfId="0"/>
    <xf numFmtId="165" fontId="4" fillId="0" borderId="0" xfId="0" applyFont="1" applyFill="1" applyAlignment="1">
      <alignment vertical="center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quotePrefix="1" applyNumberFormat="1" applyFont="1" applyFill="1" applyBorder="1" applyAlignment="1" applyProtection="1">
      <alignment horizontal="left" vertical="center"/>
    </xf>
    <xf numFmtId="165" fontId="4" fillId="0" borderId="0" xfId="0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5" fontId="4" fillId="0" borderId="0" xfId="0" applyFont="1" applyFill="1" applyBorder="1" applyAlignment="1">
      <alignment horizontal="center" vertical="center"/>
    </xf>
    <xf numFmtId="174" fontId="4" fillId="0" borderId="0" xfId="0" applyNumberFormat="1" applyFont="1" applyFill="1" applyAlignment="1">
      <alignment horizontal="center" vertical="center"/>
    </xf>
    <xf numFmtId="165" fontId="1" fillId="0" borderId="0" xfId="0" applyFont="1" applyFill="1" applyAlignment="1">
      <alignment vertical="center"/>
    </xf>
    <xf numFmtId="167" fontId="4" fillId="0" borderId="11" xfId="0" applyNumberFormat="1" applyFont="1" applyFill="1" applyBorder="1" applyAlignment="1" applyProtection="1">
      <alignment horizontal="center" vertical="center"/>
    </xf>
    <xf numFmtId="167" fontId="5" fillId="0" borderId="14" xfId="0" applyNumberFormat="1" applyFont="1" applyFill="1" applyBorder="1" applyAlignment="1">
      <alignment horizontal="center" vertical="center"/>
    </xf>
    <xf numFmtId="167" fontId="5" fillId="0" borderId="14" xfId="0" applyNumberFormat="1" applyFont="1" applyFill="1" applyBorder="1" applyAlignment="1" applyProtection="1">
      <alignment horizontal="center" vertical="center"/>
    </xf>
    <xf numFmtId="167" fontId="5" fillId="0" borderId="7" xfId="0" applyNumberFormat="1" applyFont="1" applyFill="1" applyBorder="1" applyAlignment="1" applyProtection="1">
      <alignment horizontal="center" vertical="center"/>
    </xf>
    <xf numFmtId="165" fontId="5" fillId="0" borderId="15" xfId="0" applyFont="1" applyFill="1" applyBorder="1" applyAlignment="1">
      <alignment horizontal="center" vertical="center"/>
    </xf>
    <xf numFmtId="166" fontId="5" fillId="0" borderId="15" xfId="0" applyNumberFormat="1" applyFont="1" applyFill="1" applyBorder="1" applyAlignment="1" applyProtection="1">
      <alignment horizontal="center" vertical="center"/>
      <protection locked="0"/>
    </xf>
    <xf numFmtId="166" fontId="5" fillId="0" borderId="10" xfId="0" applyNumberFormat="1" applyFont="1" applyFill="1" applyBorder="1" applyAlignment="1" applyProtection="1">
      <alignment horizontal="center" vertical="center"/>
      <protection locked="0"/>
    </xf>
    <xf numFmtId="165" fontId="4" fillId="0" borderId="8" xfId="0" applyNumberFormat="1" applyFont="1" applyFill="1" applyBorder="1" applyAlignment="1" applyProtection="1">
      <alignment horizontal="center" vertical="center"/>
    </xf>
    <xf numFmtId="165" fontId="4" fillId="0" borderId="15" xfId="0" applyNumberFormat="1" applyFont="1" applyFill="1" applyBorder="1" applyAlignment="1" applyProtection="1">
      <alignment horizontal="center" vertical="center"/>
    </xf>
    <xf numFmtId="166" fontId="5" fillId="0" borderId="15" xfId="0" applyNumberFormat="1" applyFont="1" applyFill="1" applyBorder="1" applyAlignment="1" applyProtection="1">
      <alignment horizontal="center" vertical="center"/>
    </xf>
    <xf numFmtId="167" fontId="4" fillId="0" borderId="14" xfId="0" applyNumberFormat="1" applyFont="1" applyFill="1" applyBorder="1" applyAlignment="1" applyProtection="1">
      <alignment horizontal="center" vertical="center"/>
    </xf>
    <xf numFmtId="166" fontId="5" fillId="0" borderId="14" xfId="0" applyNumberFormat="1" applyFont="1" applyFill="1" applyBorder="1" applyAlignment="1" applyProtection="1">
      <alignment horizontal="center" vertical="center"/>
    </xf>
    <xf numFmtId="166" fontId="5" fillId="0" borderId="8" xfId="0" applyNumberFormat="1" applyFont="1" applyFill="1" applyBorder="1" applyAlignment="1" applyProtection="1">
      <alignment horizontal="center" vertical="center"/>
    </xf>
    <xf numFmtId="167" fontId="5" fillId="0" borderId="11" xfId="0" applyNumberFormat="1" applyFont="1" applyFill="1" applyBorder="1" applyAlignment="1" applyProtection="1">
      <alignment horizontal="center" vertical="center"/>
    </xf>
    <xf numFmtId="0" fontId="1" fillId="0" borderId="0" xfId="29"/>
    <xf numFmtId="1" fontId="1" fillId="0" borderId="0" xfId="39" applyNumberFormat="1"/>
    <xf numFmtId="10" fontId="7" fillId="0" borderId="3" xfId="0" applyNumberFormat="1" applyFont="1" applyFill="1" applyBorder="1" applyAlignment="1">
      <alignment horizontal="center" vertical="center"/>
    </xf>
    <xf numFmtId="10" fontId="5" fillId="0" borderId="14" xfId="0" applyNumberFormat="1" applyFont="1" applyFill="1" applyBorder="1" applyAlignment="1" applyProtection="1">
      <alignment horizontal="center" vertical="center"/>
    </xf>
    <xf numFmtId="10" fontId="5" fillId="0" borderId="7" xfId="0" applyNumberFormat="1" applyFont="1" applyFill="1" applyBorder="1" applyAlignment="1" applyProtection="1">
      <alignment horizontal="center" vertical="center"/>
    </xf>
    <xf numFmtId="165" fontId="11" fillId="0" borderId="15" xfId="0" applyNumberFormat="1" applyFont="1" applyFill="1" applyBorder="1" applyAlignment="1" applyProtection="1">
      <alignment horizontal="left" vertical="center"/>
    </xf>
    <xf numFmtId="0" fontId="17" fillId="0" borderId="0" xfId="31"/>
    <xf numFmtId="0" fontId="3" fillId="0" borderId="11" xfId="32" applyFont="1" applyBorder="1" applyAlignment="1">
      <alignment horizontal="center"/>
    </xf>
    <xf numFmtId="0" fontId="3" fillId="0" borderId="7" xfId="32" applyFont="1" applyBorder="1" applyAlignment="1">
      <alignment horizontal="center"/>
    </xf>
    <xf numFmtId="165" fontId="2" fillId="0" borderId="7" xfId="1" applyNumberFormat="1" applyFont="1" applyBorder="1" applyAlignment="1">
      <alignment horizontal="center" vertical="center"/>
    </xf>
    <xf numFmtId="165" fontId="11" fillId="0" borderId="0" xfId="1" applyNumberFormat="1" applyFont="1" applyFill="1" applyBorder="1" applyAlignment="1">
      <alignment vertical="center" wrapText="1"/>
    </xf>
    <xf numFmtId="165" fontId="11" fillId="0" borderId="3" xfId="0" applyFont="1" applyBorder="1" applyAlignment="1">
      <alignment horizontal="center"/>
    </xf>
    <xf numFmtId="167" fontId="0" fillId="0" borderId="0" xfId="0" applyNumberFormat="1"/>
    <xf numFmtId="167" fontId="0" fillId="0" borderId="0" xfId="0" applyNumberFormat="1" applyBorder="1" applyAlignment="1">
      <alignment horizontal="center"/>
    </xf>
    <xf numFmtId="165" fontId="3" fillId="0" borderId="3" xfId="0" applyFont="1" applyBorder="1"/>
    <xf numFmtId="173" fontId="3" fillId="0" borderId="3" xfId="0" applyNumberFormat="1" applyFont="1" applyBorder="1" applyAlignment="1">
      <alignment horizontal="center"/>
    </xf>
    <xf numFmtId="165" fontId="3" fillId="0" borderId="3" xfId="0" applyFont="1" applyBorder="1" applyAlignment="1">
      <alignment horizontal="center"/>
    </xf>
    <xf numFmtId="165" fontId="1" fillId="0" borderId="3" xfId="0" applyFont="1" applyBorder="1"/>
    <xf numFmtId="165" fontId="1" fillId="0" borderId="3" xfId="0" applyFont="1" applyBorder="1" applyAlignment="1">
      <alignment horizontal="right"/>
    </xf>
    <xf numFmtId="164" fontId="1" fillId="0" borderId="3" xfId="39" applyNumberFormat="1" applyFont="1" applyBorder="1" applyAlignment="1">
      <alignment horizontal="center"/>
    </xf>
    <xf numFmtId="168" fontId="1" fillId="0" borderId="3" xfId="0" applyNumberFormat="1" applyFont="1" applyBorder="1" applyAlignment="1">
      <alignment horizontal="right"/>
    </xf>
    <xf numFmtId="0" fontId="1" fillId="0" borderId="0" xfId="32" applyFont="1"/>
    <xf numFmtId="0" fontId="3" fillId="0" borderId="0" xfId="32" applyFont="1"/>
    <xf numFmtId="9" fontId="1" fillId="0" borderId="3" xfId="39" applyFont="1" applyBorder="1" applyAlignment="1">
      <alignment horizontal="right"/>
    </xf>
    <xf numFmtId="165" fontId="11" fillId="0" borderId="10" xfId="0" applyNumberFormat="1" applyFont="1" applyFill="1" applyBorder="1" applyAlignment="1" applyProtection="1">
      <alignment horizontal="left" vertical="center"/>
    </xf>
    <xf numFmtId="166" fontId="5" fillId="0" borderId="10" xfId="0" applyNumberFormat="1" applyFont="1" applyFill="1" applyBorder="1" applyAlignment="1" applyProtection="1">
      <alignment horizontal="center" vertical="center"/>
    </xf>
    <xf numFmtId="167" fontId="1" fillId="0" borderId="3" xfId="0" applyNumberFormat="1" applyFont="1" applyBorder="1" applyAlignment="1">
      <alignment horizontal="right"/>
    </xf>
    <xf numFmtId="0" fontId="36" fillId="0" borderId="0" xfId="32" applyFont="1"/>
    <xf numFmtId="4" fontId="22" fillId="0" borderId="7" xfId="1" applyNumberFormat="1" applyFont="1" applyFill="1" applyBorder="1" applyAlignment="1">
      <alignment horizontal="center" vertical="center"/>
    </xf>
    <xf numFmtId="10" fontId="1" fillId="0" borderId="3" xfId="39" applyNumberFormat="1" applyFont="1" applyBorder="1" applyAlignment="1">
      <alignment horizontal="center"/>
    </xf>
    <xf numFmtId="166" fontId="5" fillId="0" borderId="14" xfId="0" applyNumberFormat="1" applyFont="1" applyFill="1" applyBorder="1" applyAlignment="1" applyProtection="1">
      <alignment horizontal="center" vertical="center"/>
      <protection locked="0"/>
    </xf>
    <xf numFmtId="166" fontId="5" fillId="0" borderId="7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Border="1" applyAlignment="1">
      <alignment horizontal="centerContinuous"/>
    </xf>
    <xf numFmtId="165" fontId="2" fillId="0" borderId="14" xfId="1" applyNumberFormat="1" applyFont="1" applyBorder="1" applyAlignment="1">
      <alignment horizontal="center" vertical="center"/>
    </xf>
    <xf numFmtId="165" fontId="0" fillId="0" borderId="0" xfId="0" applyFill="1"/>
    <xf numFmtId="169" fontId="1" fillId="0" borderId="3" xfId="0" applyNumberFormat="1" applyFont="1" applyBorder="1" applyAlignment="1">
      <alignment horizontal="right"/>
    </xf>
    <xf numFmtId="165" fontId="10" fillId="0" borderId="0" xfId="1" applyNumberFormat="1" applyFont="1" applyFill="1" applyBorder="1" applyAlignment="1">
      <alignment horizontal="left" vertical="center" wrapText="1"/>
    </xf>
    <xf numFmtId="165" fontId="4" fillId="0" borderId="14" xfId="0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14" xfId="0" applyNumberFormat="1" applyFont="1" applyFill="1" applyBorder="1" applyAlignment="1">
      <alignment horizontal="center" vertical="center"/>
    </xf>
    <xf numFmtId="0" fontId="39" fillId="0" borderId="0" xfId="32" applyFont="1"/>
    <xf numFmtId="167" fontId="4" fillId="0" borderId="0" xfId="0" applyNumberFormat="1" applyFont="1" applyFill="1" applyBorder="1" applyAlignment="1" applyProtection="1">
      <alignment horizontal="center" vertical="center"/>
    </xf>
    <xf numFmtId="165" fontId="4" fillId="0" borderId="0" xfId="0" applyFont="1" applyFill="1" applyBorder="1" applyAlignment="1">
      <alignment horizontal="centerContinuous" vertical="center"/>
    </xf>
    <xf numFmtId="0" fontId="11" fillId="0" borderId="0" xfId="29" applyFont="1"/>
    <xf numFmtId="0" fontId="11" fillId="0" borderId="3" xfId="29" applyFont="1" applyFill="1" applyBorder="1" applyAlignment="1">
      <alignment horizontal="center" vertical="center" wrapText="1"/>
    </xf>
    <xf numFmtId="165" fontId="6" fillId="0" borderId="0" xfId="0" quotePrefix="1" applyNumberFormat="1" applyFont="1" applyFill="1" applyAlignment="1" applyProtection="1">
      <alignment horizontal="centerContinuous" vertical="center"/>
    </xf>
    <xf numFmtId="165" fontId="6" fillId="0" borderId="0" xfId="0" applyNumberFormat="1" applyFont="1" applyFill="1" applyAlignment="1" applyProtection="1">
      <alignment horizontal="centerContinuous" vertical="center"/>
    </xf>
    <xf numFmtId="0" fontId="17" fillId="0" borderId="0" xfId="31" applyAlignment="1">
      <alignment horizontal="centerContinuous"/>
    </xf>
    <xf numFmtId="10" fontId="4" fillId="0" borderId="0" xfId="0" applyNumberFormat="1" applyFont="1" applyFill="1" applyAlignment="1">
      <alignment horizontal="center" vertical="center"/>
    </xf>
    <xf numFmtId="10" fontId="7" fillId="0" borderId="11" xfId="0" applyNumberFormat="1" applyFont="1" applyFill="1" applyBorder="1" applyAlignment="1" applyProtection="1">
      <alignment horizontal="center" vertical="center"/>
    </xf>
    <xf numFmtId="165" fontId="14" fillId="0" borderId="0" xfId="0" applyNumberFormat="1" applyFont="1" applyFill="1" applyBorder="1" applyAlignment="1" applyProtection="1">
      <alignment horizontal="left" vertical="center"/>
    </xf>
    <xf numFmtId="10" fontId="5" fillId="0" borderId="14" xfId="32" applyNumberFormat="1" applyFont="1" applyFill="1" applyBorder="1" applyAlignment="1">
      <alignment horizontal="center" vertical="center"/>
    </xf>
    <xf numFmtId="10" fontId="5" fillId="0" borderId="7" xfId="32" applyNumberFormat="1" applyFont="1" applyFill="1" applyBorder="1" applyAlignment="1">
      <alignment horizontal="center" vertical="center"/>
    </xf>
    <xf numFmtId="0" fontId="36" fillId="0" borderId="0" xfId="32" applyFont="1" applyAlignment="1">
      <alignment horizontal="right"/>
    </xf>
    <xf numFmtId="0" fontId="1" fillId="0" borderId="0" xfId="32" applyFont="1" applyBorder="1" applyAlignment="1"/>
    <xf numFmtId="165" fontId="38" fillId="0" borderId="4" xfId="0" applyNumberFormat="1" applyFont="1" applyFill="1" applyBorder="1" applyAlignment="1" applyProtection="1">
      <alignment horizontal="center" vertical="center"/>
    </xf>
    <xf numFmtId="10" fontId="14" fillId="0" borderId="4" xfId="0" applyNumberFormat="1" applyFont="1" applyFill="1" applyBorder="1" applyAlignment="1" applyProtection="1">
      <alignment horizontal="left" vertical="center"/>
    </xf>
    <xf numFmtId="0" fontId="43" fillId="0" borderId="3" xfId="32" applyFont="1" applyBorder="1" applyAlignment="1">
      <alignment horizontal="center"/>
    </xf>
    <xf numFmtId="0" fontId="20" fillId="0" borderId="0" xfId="32" applyFont="1" applyAlignment="1">
      <alignment horizontal="right" vertical="center"/>
    </xf>
    <xf numFmtId="165" fontId="4" fillId="0" borderId="11" xfId="0" applyFont="1" applyBorder="1" applyAlignment="1">
      <alignment horizontal="left" vertical="top" wrapText="1"/>
    </xf>
    <xf numFmtId="0" fontId="0" fillId="0" borderId="0" xfId="0" applyNumberFormat="1" applyFill="1"/>
    <xf numFmtId="10" fontId="1" fillId="0" borderId="3" xfId="32" applyNumberFormat="1" applyFont="1" applyFill="1" applyBorder="1" applyAlignment="1">
      <alignment horizontal="center"/>
    </xf>
    <xf numFmtId="165" fontId="3" fillId="0" borderId="3" xfId="30" applyNumberFormat="1" applyFont="1" applyFill="1" applyBorder="1" applyAlignment="1" applyProtection="1">
      <alignment horizontal="center" vertical="center" wrapText="1"/>
    </xf>
    <xf numFmtId="0" fontId="1" fillId="0" borderId="3" xfId="30" applyFont="1" applyFill="1" applyBorder="1" applyAlignment="1">
      <alignment vertical="center"/>
    </xf>
    <xf numFmtId="9" fontId="1" fillId="6" borderId="3" xfId="39" applyFont="1" applyFill="1" applyBorder="1" applyAlignment="1" applyProtection="1">
      <alignment horizontal="center" vertical="center"/>
      <protection locked="0"/>
    </xf>
    <xf numFmtId="0" fontId="1" fillId="0" borderId="0" xfId="32" applyFont="1" applyAlignment="1">
      <alignment horizontal="left"/>
    </xf>
    <xf numFmtId="0" fontId="3" fillId="0" borderId="0" xfId="32" applyFont="1" applyAlignment="1">
      <alignment horizontal="right"/>
    </xf>
    <xf numFmtId="167" fontId="4" fillId="0" borderId="3" xfId="0" applyNumberFormat="1" applyFont="1" applyFill="1" applyBorder="1" applyAlignment="1">
      <alignment horizontal="center" wrapText="1"/>
    </xf>
    <xf numFmtId="0" fontId="1" fillId="0" borderId="3" xfId="32" applyFont="1" applyBorder="1" applyAlignment="1">
      <alignment horizontal="justify"/>
    </xf>
    <xf numFmtId="0" fontId="19" fillId="0" borderId="0" xfId="32" applyFont="1"/>
    <xf numFmtId="10" fontId="5" fillId="0" borderId="11" xfId="32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166" fontId="5" fillId="0" borderId="15" xfId="0" applyNumberFormat="1" applyFont="1" applyFill="1" applyBorder="1" applyAlignment="1" applyProtection="1">
      <alignment horizontal="center" vertical="top"/>
      <protection locked="0"/>
    </xf>
    <xf numFmtId="166" fontId="5" fillId="0" borderId="14" xfId="0" applyNumberFormat="1" applyFont="1" applyFill="1" applyBorder="1" applyAlignment="1" applyProtection="1">
      <alignment horizontal="center" vertical="top"/>
    </xf>
    <xf numFmtId="10" fontId="5" fillId="0" borderId="14" xfId="32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Border="1" applyAlignment="1">
      <alignment horizontal="centerContinuous" vertical="center"/>
    </xf>
    <xf numFmtId="165" fontId="42" fillId="0" borderId="0" xfId="0" applyNumberFormat="1" applyFont="1" applyFill="1" applyBorder="1" applyAlignment="1" applyProtection="1">
      <alignment horizontal="center"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166" fontId="5" fillId="0" borderId="0" xfId="0" applyNumberFormat="1" applyFont="1" applyFill="1" applyBorder="1" applyAlignment="1" applyProtection="1">
      <alignment horizontal="center" vertical="top"/>
    </xf>
    <xf numFmtId="167" fontId="5" fillId="0" borderId="0" xfId="0" applyNumberFormat="1" applyFont="1" applyFill="1" applyBorder="1" applyAlignment="1" applyProtection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32" applyFont="1" applyFill="1" applyAlignment="1">
      <alignment vertical="center"/>
    </xf>
    <xf numFmtId="165" fontId="11" fillId="0" borderId="8" xfId="0" applyFont="1" applyFill="1" applyBorder="1"/>
    <xf numFmtId="165" fontId="11" fillId="0" borderId="15" xfId="0" applyFont="1" applyFill="1" applyBorder="1"/>
    <xf numFmtId="174" fontId="4" fillId="0" borderId="0" xfId="0" applyNumberFormat="1" applyFont="1" applyFill="1" applyBorder="1" applyAlignment="1">
      <alignment horizontal="centerContinuous" vertical="center"/>
    </xf>
    <xf numFmtId="10" fontId="4" fillId="0" borderId="0" xfId="0" applyNumberFormat="1" applyFont="1" applyFill="1" applyBorder="1" applyAlignment="1">
      <alignment horizontal="centerContinuous" vertical="center"/>
    </xf>
    <xf numFmtId="167" fontId="11" fillId="0" borderId="3" xfId="0" applyNumberFormat="1" applyFont="1" applyBorder="1" applyAlignment="1">
      <alignment horizontal="center"/>
    </xf>
    <xf numFmtId="166" fontId="5" fillId="0" borderId="8" xfId="0" applyNumberFormat="1" applyFont="1" applyFill="1" applyBorder="1" applyAlignment="1" applyProtection="1">
      <alignment horizontal="center" vertical="center"/>
      <protection locked="0"/>
    </xf>
    <xf numFmtId="10" fontId="5" fillId="0" borderId="11" xfId="0" applyNumberFormat="1" applyFont="1" applyFill="1" applyBorder="1" applyAlignment="1" applyProtection="1">
      <alignment horizontal="center" vertical="center"/>
    </xf>
    <xf numFmtId="167" fontId="4" fillId="0" borderId="11" xfId="0" applyNumberFormat="1" applyFont="1" applyFill="1" applyBorder="1" applyAlignment="1">
      <alignment horizontal="center" wrapText="1"/>
    </xf>
    <xf numFmtId="167" fontId="11" fillId="0" borderId="3" xfId="39" applyNumberFormat="1" applyFont="1" applyFill="1" applyBorder="1" applyAlignment="1">
      <alignment horizontal="center" vertical="center"/>
    </xf>
    <xf numFmtId="10" fontId="11" fillId="0" borderId="0" xfId="39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vertical="center"/>
    </xf>
    <xf numFmtId="165" fontId="14" fillId="0" borderId="30" xfId="1" applyNumberFormat="1" applyFont="1" applyFill="1" applyBorder="1" applyAlignment="1">
      <alignment horizontal="center" vertical="center"/>
    </xf>
    <xf numFmtId="165" fontId="14" fillId="0" borderId="32" xfId="1" applyNumberFormat="1" applyFont="1" applyFill="1" applyBorder="1" applyAlignment="1">
      <alignment horizontal="center" vertical="center"/>
    </xf>
    <xf numFmtId="2" fontId="14" fillId="0" borderId="33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vertical="center"/>
    </xf>
    <xf numFmtId="2" fontId="14" fillId="0" borderId="1" xfId="1" applyNumberFormat="1" applyFont="1" applyFill="1" applyBorder="1" applyAlignment="1">
      <alignment vertical="center"/>
    </xf>
    <xf numFmtId="165" fontId="11" fillId="0" borderId="30" xfId="1" applyNumberFormat="1" applyFont="1" applyFill="1" applyBorder="1" applyAlignment="1">
      <alignment vertical="center"/>
    </xf>
    <xf numFmtId="165" fontId="11" fillId="0" borderId="31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vertical="center"/>
    </xf>
    <xf numFmtId="2" fontId="11" fillId="0" borderId="31" xfId="1" applyNumberFormat="1" applyFont="1" applyFill="1" applyBorder="1" applyAlignment="1">
      <alignment horizontal="center" vertical="center"/>
    </xf>
    <xf numFmtId="165" fontId="11" fillId="0" borderId="28" xfId="1" applyNumberFormat="1" applyFont="1" applyFill="1" applyBorder="1" applyAlignment="1">
      <alignment vertical="center"/>
    </xf>
    <xf numFmtId="165" fontId="11" fillId="0" borderId="26" xfId="1" applyNumberFormat="1" applyFont="1" applyFill="1" applyBorder="1" applyAlignment="1">
      <alignment horizontal="center" vertical="center"/>
    </xf>
    <xf numFmtId="2" fontId="11" fillId="0" borderId="26" xfId="1" applyNumberFormat="1" applyFont="1" applyFill="1" applyBorder="1" applyAlignment="1">
      <alignment horizontal="center" vertical="center"/>
    </xf>
    <xf numFmtId="165" fontId="11" fillId="0" borderId="1" xfId="1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>
      <alignment vertical="center"/>
    </xf>
    <xf numFmtId="165" fontId="11" fillId="0" borderId="32" xfId="1" applyNumberFormat="1" applyFont="1" applyFill="1" applyBorder="1" applyAlignment="1">
      <alignment vertical="center"/>
    </xf>
    <xf numFmtId="165" fontId="11" fillId="0" borderId="33" xfId="1" applyNumberFormat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  <xf numFmtId="167" fontId="11" fillId="0" borderId="0" xfId="1" applyNumberFormat="1" applyFont="1" applyFill="1" applyBorder="1" applyAlignment="1">
      <alignment vertical="center"/>
    </xf>
    <xf numFmtId="2" fontId="14" fillId="0" borderId="31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1" fillId="0" borderId="29" xfId="1" applyNumberFormat="1" applyFont="1" applyFill="1" applyBorder="1" applyAlignment="1">
      <alignment vertical="center"/>
    </xf>
    <xf numFmtId="165" fontId="11" fillId="0" borderId="13" xfId="1" applyNumberFormat="1" applyFont="1" applyFill="1" applyBorder="1" applyAlignment="1">
      <alignment horizontal="center" vertical="center"/>
    </xf>
    <xf numFmtId="2" fontId="11" fillId="0" borderId="33" xfId="1" applyNumberFormat="1" applyFont="1" applyFill="1" applyBorder="1" applyAlignment="1">
      <alignment horizontal="center" vertical="center"/>
    </xf>
    <xf numFmtId="2" fontId="11" fillId="0" borderId="13" xfId="1" applyNumberFormat="1" applyFont="1" applyFill="1" applyBorder="1" applyAlignment="1">
      <alignment horizontal="center" vertical="center"/>
    </xf>
    <xf numFmtId="165" fontId="44" fillId="0" borderId="0" xfId="1" applyNumberFormat="1" applyFont="1" applyFill="1" applyBorder="1" applyAlignment="1">
      <alignment vertical="center"/>
    </xf>
    <xf numFmtId="10" fontId="7" fillId="0" borderId="14" xfId="0" applyNumberFormat="1" applyFont="1" applyFill="1" applyBorder="1" applyAlignment="1" applyProtection="1">
      <alignment horizontal="center" vertical="center"/>
    </xf>
    <xf numFmtId="165" fontId="4" fillId="0" borderId="15" xfId="0" applyFont="1" applyFill="1" applyBorder="1" applyAlignment="1">
      <alignment horizontal="center" vertical="center"/>
    </xf>
    <xf numFmtId="2" fontId="14" fillId="0" borderId="24" xfId="1" applyNumberFormat="1" applyFont="1" applyFill="1" applyBorder="1" applyAlignment="1">
      <alignment horizontal="center" vertical="center"/>
    </xf>
    <xf numFmtId="2" fontId="14" fillId="0" borderId="35" xfId="1" applyNumberFormat="1" applyFont="1" applyFill="1" applyBorder="1" applyAlignment="1">
      <alignment horizontal="center" vertical="center"/>
    </xf>
    <xf numFmtId="2" fontId="11" fillId="0" borderId="24" xfId="1" applyNumberFormat="1" applyFont="1" applyFill="1" applyBorder="1" applyAlignment="1">
      <alignment horizontal="center" vertical="center"/>
    </xf>
    <xf numFmtId="2" fontId="11" fillId="0" borderId="14" xfId="1" applyNumberFormat="1" applyFont="1" applyFill="1" applyBorder="1" applyAlignment="1">
      <alignment horizontal="center" vertical="center"/>
    </xf>
    <xf numFmtId="2" fontId="11" fillId="0" borderId="35" xfId="1" applyNumberFormat="1" applyFont="1" applyFill="1" applyBorder="1" applyAlignment="1">
      <alignment horizontal="center" vertical="center"/>
    </xf>
    <xf numFmtId="165" fontId="14" fillId="0" borderId="34" xfId="1" applyNumberFormat="1" applyFont="1" applyFill="1" applyBorder="1" applyAlignment="1">
      <alignment vertical="center"/>
    </xf>
    <xf numFmtId="165" fontId="11" fillId="0" borderId="34" xfId="1" applyNumberFormat="1" applyFont="1" applyFill="1" applyBorder="1" applyAlignment="1">
      <alignment vertical="center"/>
    </xf>
    <xf numFmtId="167" fontId="11" fillId="0" borderId="28" xfId="1" applyNumberFormat="1" applyFont="1" applyFill="1" applyBorder="1" applyAlignment="1">
      <alignment vertical="center"/>
    </xf>
    <xf numFmtId="167" fontId="11" fillId="0" borderId="26" xfId="1" applyNumberFormat="1" applyFont="1" applyFill="1" applyBorder="1" applyAlignment="1">
      <alignment horizontal="center" vertical="center"/>
    </xf>
    <xf numFmtId="167" fontId="11" fillId="0" borderId="14" xfId="1" applyNumberFormat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right" vertical="center"/>
    </xf>
    <xf numFmtId="167" fontId="11" fillId="0" borderId="0" xfId="1" applyNumberFormat="1" applyFont="1" applyFill="1" applyBorder="1" applyAlignment="1">
      <alignment horizontal="left" vertical="center"/>
    </xf>
    <xf numFmtId="2" fontId="11" fillId="0" borderId="0" xfId="1" applyNumberFormat="1" applyFont="1" applyFill="1" applyBorder="1" applyAlignment="1">
      <alignment horizontal="right" vertical="center"/>
    </xf>
    <xf numFmtId="2" fontId="11" fillId="0" borderId="36" xfId="1" applyNumberFormat="1" applyFont="1" applyFill="1" applyBorder="1" applyAlignment="1">
      <alignment vertical="center"/>
    </xf>
    <xf numFmtId="2" fontId="11" fillId="0" borderId="23" xfId="1" applyNumberFormat="1" applyFont="1" applyFill="1" applyBorder="1" applyAlignment="1">
      <alignment horizontal="right" vertical="center"/>
    </xf>
    <xf numFmtId="167" fontId="11" fillId="0" borderId="37" xfId="1" applyNumberFormat="1" applyFont="1" applyFill="1" applyBorder="1" applyAlignment="1">
      <alignment horizontal="left" vertical="center"/>
    </xf>
    <xf numFmtId="2" fontId="11" fillId="0" borderId="7" xfId="1" applyNumberFormat="1" applyFont="1" applyFill="1" applyBorder="1" applyAlignment="1">
      <alignment horizontal="center" vertical="center"/>
    </xf>
    <xf numFmtId="165" fontId="11" fillId="0" borderId="38" xfId="1" applyNumberFormat="1" applyFont="1" applyFill="1" applyBorder="1" applyAlignment="1">
      <alignment vertical="center"/>
    </xf>
    <xf numFmtId="2" fontId="11" fillId="0" borderId="34" xfId="1" applyNumberFormat="1" applyFont="1" applyFill="1" applyBorder="1" applyAlignment="1">
      <alignment vertical="center"/>
    </xf>
    <xf numFmtId="2" fontId="11" fillId="0" borderId="39" xfId="1" applyNumberFormat="1" applyFont="1" applyFill="1" applyBorder="1" applyAlignment="1">
      <alignment vertical="center"/>
    </xf>
    <xf numFmtId="165" fontId="11" fillId="0" borderId="21" xfId="1" applyNumberFormat="1" applyFont="1" applyFill="1" applyBorder="1" applyAlignment="1">
      <alignment vertical="center"/>
    </xf>
    <xf numFmtId="165" fontId="11" fillId="0" borderId="22" xfId="1" applyNumberFormat="1" applyFont="1" applyFill="1" applyBorder="1" applyAlignment="1">
      <alignment vertical="center"/>
    </xf>
    <xf numFmtId="165" fontId="11" fillId="0" borderId="36" xfId="1" applyNumberFormat="1" applyFont="1" applyFill="1" applyBorder="1" applyAlignment="1">
      <alignment vertical="center"/>
    </xf>
    <xf numFmtId="165" fontId="11" fillId="0" borderId="23" xfId="1" applyNumberFormat="1" applyFont="1" applyFill="1" applyBorder="1" applyAlignment="1">
      <alignment vertical="center"/>
    </xf>
    <xf numFmtId="2" fontId="11" fillId="0" borderId="37" xfId="1" applyNumberFormat="1" applyFont="1" applyFill="1" applyBorder="1" applyAlignment="1">
      <alignment vertical="center"/>
    </xf>
    <xf numFmtId="2" fontId="11" fillId="0" borderId="22" xfId="1" applyNumberFormat="1" applyFont="1" applyFill="1" applyBorder="1" applyAlignment="1">
      <alignment vertical="center"/>
    </xf>
    <xf numFmtId="0" fontId="11" fillId="0" borderId="37" xfId="1" applyNumberFormat="1" applyFont="1" applyFill="1" applyBorder="1" applyAlignment="1">
      <alignment horizontal="left" vertical="center"/>
    </xf>
    <xf numFmtId="2" fontId="14" fillId="0" borderId="34" xfId="1" applyNumberFormat="1" applyFont="1" applyFill="1" applyBorder="1" applyAlignment="1">
      <alignment vertical="center"/>
    </xf>
    <xf numFmtId="0" fontId="11" fillId="0" borderId="3" xfId="30" applyFont="1" applyBorder="1" applyAlignment="1">
      <alignment horizontal="centerContinuous"/>
    </xf>
    <xf numFmtId="0" fontId="11" fillId="0" borderId="0" xfId="30" applyFont="1"/>
    <xf numFmtId="165" fontId="14" fillId="0" borderId="3" xfId="30" applyNumberFormat="1" applyFont="1" applyFill="1" applyBorder="1" applyAlignment="1" applyProtection="1">
      <alignment horizontal="center" vertical="center"/>
    </xf>
    <xf numFmtId="0" fontId="14" fillId="0" borderId="3" xfId="30" applyFont="1" applyFill="1" applyBorder="1" applyAlignment="1">
      <alignment horizontal="center" vertical="center"/>
    </xf>
    <xf numFmtId="0" fontId="14" fillId="0" borderId="3" xfId="30" applyFont="1" applyFill="1" applyBorder="1" applyAlignment="1">
      <alignment horizontal="center" vertical="center" wrapText="1"/>
    </xf>
    <xf numFmtId="14" fontId="11" fillId="0" borderId="3" xfId="30" quotePrefix="1" applyNumberFormat="1" applyFont="1" applyFill="1" applyBorder="1" applyAlignment="1">
      <alignment horizontal="center" vertical="center"/>
    </xf>
    <xf numFmtId="14" fontId="11" fillId="0" borderId="7" xfId="30" applyNumberFormat="1" applyFont="1" applyFill="1" applyBorder="1" applyAlignment="1" applyProtection="1">
      <alignment horizontal="center" vertical="center"/>
    </xf>
    <xf numFmtId="168" fontId="11" fillId="0" borderId="3" xfId="30" applyNumberFormat="1" applyFont="1" applyFill="1" applyBorder="1" applyAlignment="1" applyProtection="1">
      <alignment horizontal="center" vertical="center"/>
    </xf>
    <xf numFmtId="0" fontId="14" fillId="0" borderId="0" xfId="30" applyFont="1" applyAlignment="1">
      <alignment horizontal="centerContinuous"/>
    </xf>
    <xf numFmtId="0" fontId="11" fillId="0" borderId="0" xfId="30" applyFont="1" applyAlignment="1">
      <alignment horizontal="centerContinuous"/>
    </xf>
    <xf numFmtId="0" fontId="11" fillId="0" borderId="0" xfId="30" applyFont="1" applyFill="1" applyAlignment="1">
      <alignment vertical="center"/>
    </xf>
    <xf numFmtId="165" fontId="45" fillId="0" borderId="4" xfId="30" applyNumberFormat="1" applyFont="1" applyFill="1" applyBorder="1" applyAlignment="1" applyProtection="1">
      <alignment horizontal="center" vertical="center"/>
    </xf>
    <xf numFmtId="0" fontId="47" fillId="0" borderId="0" xfId="30" applyFont="1" applyAlignment="1">
      <alignment horizontal="centerContinuous"/>
    </xf>
    <xf numFmtId="165" fontId="11" fillId="0" borderId="0" xfId="0" applyFont="1" applyFill="1" applyBorder="1" applyAlignment="1">
      <alignment horizontal="centerContinuous" vertical="center"/>
    </xf>
    <xf numFmtId="165" fontId="0" fillId="0" borderId="0" xfId="0" applyFont="1"/>
    <xf numFmtId="165" fontId="14" fillId="0" borderId="0" xfId="0" quotePrefix="1" applyNumberFormat="1" applyFont="1" applyFill="1" applyAlignment="1" applyProtection="1">
      <alignment horizontal="centerContinuous" vertical="center"/>
    </xf>
    <xf numFmtId="165" fontId="14" fillId="0" borderId="0" xfId="1" applyNumberFormat="1" applyFont="1" applyBorder="1" applyAlignment="1">
      <alignment horizontal="left" vertical="center"/>
    </xf>
    <xf numFmtId="165" fontId="48" fillId="0" borderId="4" xfId="0" applyFont="1" applyBorder="1"/>
    <xf numFmtId="165" fontId="0" fillId="0" borderId="4" xfId="0" applyFont="1" applyBorder="1"/>
    <xf numFmtId="165" fontId="0" fillId="0" borderId="0" xfId="0" applyFont="1" applyAlignment="1">
      <alignment wrapText="1"/>
    </xf>
    <xf numFmtId="165" fontId="14" fillId="0" borderId="3" xfId="0" applyFont="1" applyBorder="1" applyAlignment="1">
      <alignment horizontal="center" vertical="center" wrapText="1"/>
    </xf>
    <xf numFmtId="165" fontId="14" fillId="0" borderId="3" xfId="0" applyFont="1" applyBorder="1" applyAlignment="1">
      <alignment horizontal="center" vertical="center"/>
    </xf>
    <xf numFmtId="167" fontId="11" fillId="0" borderId="3" xfId="0" applyNumberFormat="1" applyFont="1" applyFill="1" applyBorder="1" applyAlignment="1">
      <alignment horizontal="center" vertical="center" wrapText="1"/>
    </xf>
    <xf numFmtId="165" fontId="11" fillId="0" borderId="0" xfId="0" applyFont="1"/>
    <xf numFmtId="165" fontId="11" fillId="0" borderId="0" xfId="0" applyFont="1" applyAlignment="1">
      <alignment horizontal="centerContinuous" wrapText="1"/>
    </xf>
    <xf numFmtId="165" fontId="0" fillId="0" borderId="0" xfId="0" applyFont="1" applyAlignment="1">
      <alignment horizontal="centerContinuous" wrapText="1"/>
    </xf>
    <xf numFmtId="165" fontId="0" fillId="0" borderId="0" xfId="0" applyFont="1" applyBorder="1" applyAlignment="1">
      <alignment vertical="center" wrapText="1"/>
    </xf>
    <xf numFmtId="167" fontId="11" fillId="0" borderId="0" xfId="0" applyNumberFormat="1" applyFont="1" applyFill="1" applyBorder="1" applyAlignment="1">
      <alignment horizontal="center" vertical="center" wrapText="1"/>
    </xf>
    <xf numFmtId="165" fontId="0" fillId="0" borderId="0" xfId="0" applyFont="1" applyBorder="1"/>
    <xf numFmtId="165" fontId="14" fillId="0" borderId="0" xfId="0" applyFont="1" applyAlignment="1">
      <alignment horizontal="centerContinuous" wrapText="1"/>
    </xf>
    <xf numFmtId="165" fontId="49" fillId="0" borderId="0" xfId="0" applyFont="1" applyAlignment="1">
      <alignment horizontal="centerContinuous" wrapText="1"/>
    </xf>
    <xf numFmtId="165" fontId="47" fillId="0" borderId="0" xfId="0" applyFont="1" applyAlignment="1">
      <alignment horizontal="centerContinuous" wrapText="1"/>
    </xf>
    <xf numFmtId="165" fontId="0" fillId="0" borderId="3" xfId="0" applyFont="1" applyBorder="1" applyAlignment="1">
      <alignment horizontal="left" vertical="center" wrapText="1" indent="1"/>
    </xf>
    <xf numFmtId="165" fontId="14" fillId="0" borderId="3" xfId="0" applyFont="1" applyBorder="1" applyAlignment="1">
      <alignment horizontal="left" vertical="center" wrapText="1" indent="1"/>
    </xf>
    <xf numFmtId="165" fontId="45" fillId="0" borderId="0" xfId="0" applyFont="1" applyAlignment="1">
      <alignment horizontal="centerContinuous" wrapText="1"/>
    </xf>
    <xf numFmtId="165" fontId="50" fillId="0" borderId="0" xfId="0" applyFont="1" applyAlignment="1">
      <alignment horizontal="centerContinuous" wrapText="1"/>
    </xf>
    <xf numFmtId="165" fontId="11" fillId="0" borderId="0" xfId="0" applyFont="1" applyBorder="1" applyAlignment="1">
      <alignment horizontal="center"/>
    </xf>
    <xf numFmtId="165" fontId="11" fillId="0" borderId="0" xfId="0" applyFont="1" applyBorder="1"/>
    <xf numFmtId="167" fontId="11" fillId="0" borderId="0" xfId="0" applyNumberFormat="1" applyFont="1" applyBorder="1" applyAlignment="1">
      <alignment horizontal="center"/>
    </xf>
    <xf numFmtId="166" fontId="11" fillId="0" borderId="0" xfId="0" applyNumberFormat="1" applyFont="1" applyBorder="1" applyAlignment="1">
      <alignment horizontal="center"/>
    </xf>
    <xf numFmtId="165" fontId="11" fillId="0" borderId="17" xfId="0" applyFont="1" applyBorder="1" applyAlignment="1">
      <alignment horizontal="center"/>
    </xf>
    <xf numFmtId="165" fontId="11" fillId="0" borderId="18" xfId="0" applyFont="1" applyBorder="1" applyAlignment="1">
      <alignment horizontal="center"/>
    </xf>
    <xf numFmtId="165" fontId="11" fillId="0" borderId="19" xfId="0" applyFont="1" applyBorder="1" applyAlignment="1">
      <alignment horizontal="center"/>
    </xf>
    <xf numFmtId="165" fontId="11" fillId="0" borderId="20" xfId="0" applyFont="1" applyBorder="1" applyAlignment="1">
      <alignment horizontal="center"/>
    </xf>
    <xf numFmtId="165" fontId="11" fillId="0" borderId="15" xfId="0" applyFont="1" applyBorder="1" applyAlignment="1">
      <alignment horizontal="center"/>
    </xf>
    <xf numFmtId="167" fontId="11" fillId="0" borderId="0" xfId="0" applyNumberFormat="1" applyFont="1"/>
    <xf numFmtId="186" fontId="11" fillId="0" borderId="0" xfId="0" applyNumberFormat="1" applyFont="1"/>
    <xf numFmtId="185" fontId="11" fillId="0" borderId="0" xfId="0" applyNumberFormat="1" applyFont="1" applyBorder="1" applyAlignment="1"/>
    <xf numFmtId="165" fontId="14" fillId="0" borderId="0" xfId="1" applyNumberFormat="1" applyFont="1" applyBorder="1" applyAlignment="1">
      <alignment horizontal="centerContinuous" vertical="center" wrapText="1"/>
    </xf>
    <xf numFmtId="165" fontId="14" fillId="0" borderId="0" xfId="1" applyNumberFormat="1" applyFont="1" applyBorder="1" applyAlignment="1">
      <alignment vertical="center" wrapText="1"/>
    </xf>
    <xf numFmtId="165" fontId="14" fillId="0" borderId="3" xfId="0" applyFont="1" applyFill="1" applyBorder="1" applyAlignment="1">
      <alignment horizontal="center" vertical="center"/>
    </xf>
    <xf numFmtId="165" fontId="11" fillId="0" borderId="3" xfId="0" applyFont="1" applyFill="1" applyBorder="1" applyAlignment="1">
      <alignment horizontal="center"/>
    </xf>
    <xf numFmtId="165" fontId="11" fillId="0" borderId="0" xfId="0" applyFont="1" applyFill="1" applyBorder="1" applyAlignment="1">
      <alignment horizontal="center"/>
    </xf>
    <xf numFmtId="185" fontId="14" fillId="0" borderId="0" xfId="0" applyNumberFormat="1" applyFont="1" applyFill="1" applyBorder="1" applyAlignment="1">
      <alignment horizontal="center" wrapText="1"/>
    </xf>
    <xf numFmtId="165" fontId="14" fillId="0" borderId="0" xfId="1" applyNumberFormat="1" applyFont="1" applyBorder="1" applyAlignment="1">
      <alignment horizontal="center" vertical="center"/>
    </xf>
    <xf numFmtId="165" fontId="14" fillId="0" borderId="0" xfId="0" applyFont="1" applyAlignment="1">
      <alignment horizontal="center"/>
    </xf>
    <xf numFmtId="165" fontId="14" fillId="0" borderId="11" xfId="0" applyFont="1" applyFill="1" applyBorder="1" applyAlignment="1">
      <alignment horizontal="center"/>
    </xf>
    <xf numFmtId="165" fontId="14" fillId="0" borderId="8" xfId="0" applyFont="1" applyFill="1" applyBorder="1" applyAlignment="1">
      <alignment horizontal="center"/>
    </xf>
    <xf numFmtId="185" fontId="14" fillId="0" borderId="11" xfId="0" applyNumberFormat="1" applyFont="1" applyFill="1" applyBorder="1" applyAlignment="1">
      <alignment horizontal="center" wrapText="1"/>
    </xf>
    <xf numFmtId="166" fontId="11" fillId="0" borderId="11" xfId="0" applyNumberFormat="1" applyFont="1" applyFill="1" applyBorder="1" applyAlignment="1">
      <alignment horizontal="center"/>
    </xf>
    <xf numFmtId="167" fontId="11" fillId="0" borderId="11" xfId="0" applyNumberFormat="1" applyFont="1" applyFill="1" applyBorder="1" applyAlignment="1">
      <alignment horizontal="center"/>
    </xf>
    <xf numFmtId="166" fontId="11" fillId="0" borderId="14" xfId="0" applyNumberFormat="1" applyFont="1" applyFill="1" applyBorder="1" applyAlignment="1">
      <alignment horizontal="center"/>
    </xf>
    <xf numFmtId="167" fontId="11" fillId="0" borderId="14" xfId="0" applyNumberFormat="1" applyFont="1" applyFill="1" applyBorder="1" applyAlignment="1">
      <alignment horizontal="center"/>
    </xf>
    <xf numFmtId="167" fontId="11" fillId="0" borderId="7" xfId="0" applyNumberFormat="1" applyFont="1" applyFill="1" applyBorder="1" applyAlignment="1">
      <alignment horizontal="center"/>
    </xf>
    <xf numFmtId="167" fontId="11" fillId="0" borderId="3" xfId="0" applyNumberFormat="1" applyFont="1" applyFill="1" applyBorder="1" applyAlignment="1">
      <alignment horizontal="center"/>
    </xf>
    <xf numFmtId="165" fontId="11" fillId="0" borderId="0" xfId="0" applyFont="1" applyBorder="1" applyAlignment="1">
      <alignment horizontal="left"/>
    </xf>
    <xf numFmtId="165" fontId="51" fillId="0" borderId="0" xfId="0" applyFont="1" applyBorder="1"/>
    <xf numFmtId="165" fontId="11" fillId="0" borderId="8" xfId="0" applyNumberFormat="1" applyFont="1" applyFill="1" applyBorder="1" applyAlignment="1" applyProtection="1">
      <alignment horizontal="left" vertical="center"/>
    </xf>
    <xf numFmtId="165" fontId="11" fillId="0" borderId="15" xfId="0" applyNumberFormat="1" applyFont="1" applyFill="1" applyBorder="1" applyAlignment="1" applyProtection="1">
      <alignment horizontal="left" vertical="center" indent="1"/>
    </xf>
    <xf numFmtId="165" fontId="14" fillId="0" borderId="0" xfId="0" quotePrefix="1" applyNumberFormat="1" applyFont="1" applyFill="1" applyAlignment="1" applyProtection="1">
      <alignment vertical="center"/>
    </xf>
    <xf numFmtId="165" fontId="11" fillId="0" borderId="0" xfId="0" applyFont="1" applyFill="1" applyBorder="1" applyAlignment="1">
      <alignment horizontal="center" vertical="center"/>
    </xf>
    <xf numFmtId="167" fontId="11" fillId="0" borderId="0" xfId="0" applyNumberFormat="1" applyFont="1" applyFill="1" applyBorder="1" applyAlignment="1">
      <alignment horizontal="centerContinuous" vertical="center"/>
    </xf>
    <xf numFmtId="165" fontId="11" fillId="0" borderId="0" xfId="0" applyFont="1" applyFill="1" applyAlignment="1">
      <alignment horizontal="centerContinuous" vertical="center"/>
    </xf>
    <xf numFmtId="165" fontId="11" fillId="0" borderId="0" xfId="0" applyFont="1" applyFill="1" applyAlignment="1">
      <alignment vertical="center"/>
    </xf>
    <xf numFmtId="165" fontId="11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11" fillId="0" borderId="0" xfId="0" applyNumberFormat="1" applyFont="1" applyFill="1" applyBorder="1" applyAlignment="1">
      <alignment vertical="center"/>
    </xf>
    <xf numFmtId="167" fontId="14" fillId="0" borderId="0" xfId="0" applyNumberFormat="1" applyFont="1" applyFill="1" applyAlignment="1">
      <alignment horizontal="center" vertical="center"/>
    </xf>
    <xf numFmtId="175" fontId="11" fillId="0" borderId="0" xfId="0" applyNumberFormat="1" applyFont="1" applyFill="1" applyBorder="1" applyAlignment="1">
      <alignment vertical="center"/>
    </xf>
    <xf numFmtId="165" fontId="14" fillId="0" borderId="0" xfId="0" applyNumberFormat="1" applyFont="1" applyFill="1" applyBorder="1" applyAlignment="1" applyProtection="1">
      <alignment horizontal="centerContinuous" vertical="center"/>
    </xf>
    <xf numFmtId="170" fontId="11" fillId="0" borderId="0" xfId="0" applyNumberFormat="1" applyFont="1" applyFill="1" applyBorder="1" applyAlignment="1">
      <alignment vertical="center"/>
    </xf>
    <xf numFmtId="10" fontId="11" fillId="0" borderId="0" xfId="0" applyNumberFormat="1" applyFont="1" applyFill="1" applyBorder="1" applyAlignment="1">
      <alignment vertical="center"/>
    </xf>
    <xf numFmtId="165" fontId="14" fillId="0" borderId="4" xfId="0" applyFont="1" applyFill="1" applyBorder="1" applyAlignment="1">
      <alignment horizontal="center"/>
    </xf>
    <xf numFmtId="167" fontId="14" fillId="0" borderId="4" xfId="0" applyNumberFormat="1" applyFont="1" applyFill="1" applyBorder="1" applyAlignment="1">
      <alignment horizontal="center"/>
    </xf>
    <xf numFmtId="165" fontId="14" fillId="0" borderId="8" xfId="0" applyFont="1" applyFill="1" applyBorder="1" applyAlignment="1">
      <alignment horizontal="center" vertical="center"/>
    </xf>
    <xf numFmtId="165" fontId="14" fillId="0" borderId="11" xfId="0" applyNumberFormat="1" applyFont="1" applyFill="1" applyBorder="1" applyAlignment="1" applyProtection="1">
      <alignment horizontal="center" vertical="center"/>
    </xf>
    <xf numFmtId="165" fontId="14" fillId="0" borderId="9" xfId="0" applyNumberFormat="1" applyFont="1" applyFill="1" applyBorder="1" applyAlignment="1" applyProtection="1">
      <alignment horizontal="center" vertical="center"/>
    </xf>
    <xf numFmtId="165" fontId="14" fillId="0" borderId="12" xfId="0" applyNumberFormat="1" applyFont="1" applyFill="1" applyBorder="1" applyAlignment="1" applyProtection="1">
      <alignment horizontal="center" vertical="center"/>
    </xf>
    <xf numFmtId="165" fontId="11" fillId="0" borderId="0" xfId="0" applyNumberFormat="1" applyFont="1" applyFill="1" applyAlignment="1" applyProtection="1">
      <alignment vertical="center"/>
    </xf>
    <xf numFmtId="168" fontId="1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Alignment="1">
      <alignment vertical="center"/>
    </xf>
    <xf numFmtId="165" fontId="14" fillId="0" borderId="4" xfId="0" applyFont="1" applyFill="1" applyBorder="1" applyAlignment="1">
      <alignment horizontal="center" vertical="center"/>
    </xf>
    <xf numFmtId="165" fontId="11" fillId="0" borderId="4" xfId="0" applyFont="1" applyFill="1" applyBorder="1" applyAlignment="1">
      <alignment vertical="center"/>
    </xf>
    <xf numFmtId="165" fontId="11" fillId="0" borderId="13" xfId="0" applyFont="1" applyFill="1" applyBorder="1" applyAlignment="1">
      <alignment vertical="center"/>
    </xf>
    <xf numFmtId="167" fontId="14" fillId="0" borderId="3" xfId="0" applyNumberFormat="1" applyFont="1" applyFill="1" applyBorder="1" applyAlignment="1">
      <alignment horizontal="center" vertical="center"/>
    </xf>
    <xf numFmtId="14" fontId="11" fillId="0" borderId="8" xfId="0" applyNumberFormat="1" applyFont="1" applyFill="1" applyBorder="1" applyAlignment="1">
      <alignment horizontal="center" vertical="center"/>
    </xf>
    <xf numFmtId="165" fontId="11" fillId="0" borderId="10" xfId="0" applyFont="1" applyFill="1" applyBorder="1" applyAlignment="1">
      <alignment horizontal="left" vertical="center"/>
    </xf>
    <xf numFmtId="14" fontId="11" fillId="0" borderId="10" xfId="0" applyNumberFormat="1" applyFont="1" applyFill="1" applyBorder="1" applyAlignment="1" applyProtection="1">
      <alignment horizontal="center" vertical="center"/>
      <protection locked="0"/>
    </xf>
    <xf numFmtId="169" fontId="11" fillId="0" borderId="7" xfId="0" applyNumberFormat="1" applyFont="1" applyFill="1" applyBorder="1" applyAlignment="1" applyProtection="1">
      <alignment horizontal="center" vertical="center"/>
    </xf>
    <xf numFmtId="168" fontId="11" fillId="0" borderId="7" xfId="0" applyNumberFormat="1" applyFont="1" applyFill="1" applyBorder="1" applyAlignment="1" applyProtection="1">
      <alignment horizontal="center" vertical="center"/>
    </xf>
    <xf numFmtId="2" fontId="11" fillId="0" borderId="7" xfId="0" applyNumberFormat="1" applyFont="1" applyFill="1" applyBorder="1" applyAlignment="1" applyProtection="1">
      <alignment horizontal="center" vertical="center"/>
    </xf>
    <xf numFmtId="165" fontId="14" fillId="0" borderId="2" xfId="0" applyFont="1" applyFill="1" applyBorder="1" applyAlignment="1">
      <alignment horizontal="center" vertical="center"/>
    </xf>
    <xf numFmtId="165" fontId="11" fillId="0" borderId="2" xfId="0" applyFont="1" applyFill="1" applyBorder="1" applyAlignment="1">
      <alignment vertical="center"/>
    </xf>
    <xf numFmtId="165" fontId="11" fillId="0" borderId="6" xfId="0" applyFont="1" applyFill="1" applyBorder="1" applyAlignment="1">
      <alignment vertical="center"/>
    </xf>
    <xf numFmtId="165" fontId="14" fillId="0" borderId="4" xfId="0" applyFont="1" applyFill="1" applyBorder="1" applyAlignment="1">
      <alignment vertical="center"/>
    </xf>
    <xf numFmtId="165" fontId="14" fillId="0" borderId="3" xfId="0" applyNumberFormat="1" applyFont="1" applyFill="1" applyBorder="1" applyAlignment="1" applyProtection="1">
      <alignment horizontal="center" vertical="center"/>
    </xf>
    <xf numFmtId="165" fontId="11" fillId="0" borderId="8" xfId="0" applyFont="1" applyFill="1" applyBorder="1" applyAlignment="1">
      <alignment horizontal="left" vertical="center"/>
    </xf>
    <xf numFmtId="165" fontId="11" fillId="0" borderId="27" xfId="0" applyFont="1" applyFill="1" applyBorder="1" applyAlignment="1">
      <alignment vertical="center"/>
    </xf>
    <xf numFmtId="165" fontId="11" fillId="0" borderId="3" xfId="0" applyFont="1" applyFill="1" applyBorder="1" applyAlignment="1">
      <alignment vertical="center"/>
    </xf>
    <xf numFmtId="0" fontId="11" fillId="0" borderId="15" xfId="0" applyNumberFormat="1" applyFont="1" applyFill="1" applyBorder="1" applyAlignment="1">
      <alignment horizontal="left" vertical="center"/>
    </xf>
    <xf numFmtId="165" fontId="11" fillId="0" borderId="15" xfId="0" applyFont="1" applyFill="1" applyBorder="1" applyAlignment="1">
      <alignment horizontal="left" vertical="center"/>
    </xf>
    <xf numFmtId="165" fontId="14" fillId="0" borderId="27" xfId="0" applyFont="1" applyFill="1" applyBorder="1" applyAlignment="1">
      <alignment vertical="center"/>
    </xf>
    <xf numFmtId="165" fontId="14" fillId="0" borderId="2" xfId="0" applyFont="1" applyFill="1" applyBorder="1" applyAlignment="1">
      <alignment horizontal="left"/>
    </xf>
    <xf numFmtId="14" fontId="14" fillId="0" borderId="13" xfId="0" applyNumberFormat="1" applyFont="1" applyFill="1" applyBorder="1" applyAlignment="1">
      <alignment horizontal="left" vertical="center"/>
    </xf>
    <xf numFmtId="14" fontId="14" fillId="0" borderId="6" xfId="0" applyNumberFormat="1" applyFont="1" applyFill="1" applyBorder="1" applyAlignment="1">
      <alignment horizontal="center" vertical="center"/>
    </xf>
    <xf numFmtId="165" fontId="14" fillId="0" borderId="5" xfId="0" applyFont="1" applyFill="1" applyBorder="1" applyAlignment="1">
      <alignment horizontal="center" vertical="center"/>
    </xf>
    <xf numFmtId="165" fontId="14" fillId="0" borderId="2" xfId="0" applyNumberFormat="1" applyFont="1" applyFill="1" applyBorder="1" applyAlignment="1" applyProtection="1">
      <alignment horizontal="center" vertical="center"/>
    </xf>
    <xf numFmtId="165" fontId="11" fillId="0" borderId="5" xfId="0" applyFont="1" applyFill="1" applyBorder="1" applyAlignment="1">
      <alignment vertical="center"/>
    </xf>
    <xf numFmtId="0" fontId="11" fillId="0" borderId="3" xfId="0" applyNumberFormat="1" applyFont="1" applyFill="1" applyBorder="1" applyAlignment="1" applyProtection="1">
      <alignment horizontal="center" vertical="center"/>
      <protection locked="0"/>
    </xf>
    <xf numFmtId="167" fontId="11" fillId="0" borderId="3" xfId="0" applyNumberFormat="1" applyFont="1" applyFill="1" applyBorder="1" applyAlignment="1" applyProtection="1">
      <alignment horizontal="center" vertical="center"/>
    </xf>
    <xf numFmtId="2" fontId="11" fillId="0" borderId="2" xfId="0" applyNumberFormat="1" applyFont="1" applyFill="1" applyBorder="1" applyAlignment="1" applyProtection="1">
      <alignment horizontal="center" vertical="center"/>
      <protection locked="0"/>
    </xf>
    <xf numFmtId="2" fontId="11" fillId="0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/>
    </xf>
    <xf numFmtId="167" fontId="11" fillId="0" borderId="0" xfId="39" applyNumberFormat="1" applyFont="1" applyFill="1" applyBorder="1" applyAlignment="1">
      <alignment horizontal="center" vertical="center"/>
    </xf>
    <xf numFmtId="165" fontId="11" fillId="0" borderId="12" xfId="0" applyFont="1" applyFill="1" applyBorder="1" applyAlignment="1">
      <alignment vertical="center"/>
    </xf>
    <xf numFmtId="165" fontId="11" fillId="0" borderId="11" xfId="0" applyNumberFormat="1" applyFont="1" applyFill="1" applyBorder="1" applyAlignment="1" applyProtection="1">
      <alignment horizontal="left" vertical="center"/>
    </xf>
    <xf numFmtId="10" fontId="11" fillId="0" borderId="0" xfId="0" applyNumberFormat="1" applyFont="1" applyFill="1" applyAlignment="1">
      <alignment vertical="center"/>
    </xf>
    <xf numFmtId="165" fontId="11" fillId="0" borderId="26" xfId="0" applyFont="1" applyFill="1" applyBorder="1" applyAlignment="1">
      <alignment vertical="center"/>
    </xf>
    <xf numFmtId="165" fontId="11" fillId="0" borderId="7" xfId="0" applyNumberFormat="1" applyFont="1" applyFill="1" applyBorder="1" applyAlignment="1" applyProtection="1">
      <alignment horizontal="left" vertical="center"/>
    </xf>
    <xf numFmtId="167" fontId="11" fillId="0" borderId="7" xfId="0" applyNumberFormat="1" applyFont="1" applyFill="1" applyBorder="1" applyAlignment="1" applyProtection="1">
      <alignment horizontal="center" vertical="center"/>
    </xf>
    <xf numFmtId="10" fontId="11" fillId="0" borderId="0" xfId="0" applyNumberFormat="1" applyFont="1" applyFill="1" applyBorder="1" applyAlignment="1" applyProtection="1">
      <alignment vertical="center"/>
    </xf>
    <xf numFmtId="165" fontId="14" fillId="0" borderId="0" xfId="0" applyNumberFormat="1" applyFont="1" applyFill="1" applyBorder="1" applyAlignment="1" applyProtection="1">
      <alignment horizontal="center" vertical="center"/>
    </xf>
    <xf numFmtId="165" fontId="14" fillId="0" borderId="0" xfId="0" applyFont="1" applyFill="1" applyAlignment="1">
      <alignment vertical="center"/>
    </xf>
    <xf numFmtId="167" fontId="11" fillId="0" borderId="0" xfId="0" applyNumberFormat="1" applyFont="1" applyFill="1" applyBorder="1" applyAlignment="1" applyProtection="1">
      <alignment horizontal="center" vertical="center"/>
    </xf>
    <xf numFmtId="165" fontId="11" fillId="0" borderId="15" xfId="0" applyFont="1" applyFill="1" applyBorder="1" applyAlignment="1">
      <alignment vertical="center"/>
    </xf>
    <xf numFmtId="10" fontId="11" fillId="0" borderId="0" xfId="39" applyNumberFormat="1" applyFont="1" applyFill="1" applyBorder="1" applyAlignment="1" applyProtection="1">
      <alignment horizontal="center" vertical="center"/>
    </xf>
    <xf numFmtId="165" fontId="11" fillId="0" borderId="10" xfId="0" applyFont="1" applyFill="1" applyBorder="1" applyAlignment="1">
      <alignment vertical="center"/>
    </xf>
    <xf numFmtId="165" fontId="11" fillId="0" borderId="5" xfId="0" applyNumberFormat="1" applyFont="1" applyFill="1" applyBorder="1" applyAlignment="1" applyProtection="1">
      <alignment horizontal="left" vertical="center" indent="1"/>
    </xf>
    <xf numFmtId="165" fontId="14" fillId="0" borderId="0" xfId="0" applyFont="1" applyFill="1" applyBorder="1" applyAlignment="1">
      <alignment horizontal="center" vertical="center"/>
    </xf>
    <xf numFmtId="165" fontId="11" fillId="0" borderId="8" xfId="0" applyNumberFormat="1" applyFont="1" applyFill="1" applyBorder="1" applyAlignment="1" applyProtection="1">
      <alignment horizontal="left" vertical="center" indent="1"/>
    </xf>
    <xf numFmtId="165" fontId="11" fillId="0" borderId="9" xfId="0" applyFont="1" applyFill="1" applyBorder="1" applyAlignment="1">
      <alignment vertical="center"/>
    </xf>
    <xf numFmtId="165" fontId="11" fillId="0" borderId="10" xfId="0" applyNumberFormat="1" applyFont="1" applyFill="1" applyBorder="1" applyAlignment="1" applyProtection="1">
      <alignment horizontal="left" vertical="center" indent="1"/>
    </xf>
    <xf numFmtId="14" fontId="11" fillId="0" borderId="0" xfId="0" applyNumberFormat="1" applyFont="1" applyFill="1" applyBorder="1" applyAlignment="1">
      <alignment horizontal="center" vertical="center"/>
    </xf>
    <xf numFmtId="167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165" fontId="14" fillId="0" borderId="0" xfId="0" applyFont="1" applyFill="1" applyAlignment="1">
      <alignment horizontal="center"/>
    </xf>
    <xf numFmtId="167" fontId="14" fillId="0" borderId="0" xfId="0" applyNumberFormat="1" applyFont="1" applyFill="1" applyAlignment="1">
      <alignment horizontal="center"/>
    </xf>
    <xf numFmtId="165" fontId="11" fillId="0" borderId="7" xfId="0" applyFont="1" applyFill="1" applyBorder="1" applyAlignment="1">
      <alignment horizontal="center" vertical="center"/>
    </xf>
    <xf numFmtId="165" fontId="11" fillId="0" borderId="3" xfId="0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165" fontId="53" fillId="0" borderId="0" xfId="0" applyNumberFormat="1" applyFont="1" applyFill="1" applyBorder="1" applyAlignment="1" applyProtection="1">
      <alignment horizontal="left" vertical="center"/>
    </xf>
    <xf numFmtId="165" fontId="14" fillId="0" borderId="2" xfId="0" applyFont="1" applyFill="1" applyBorder="1" applyAlignment="1">
      <alignment horizontal="center"/>
    </xf>
    <xf numFmtId="165" fontId="11" fillId="0" borderId="0" xfId="0" applyFont="1" applyFill="1" applyBorder="1" applyAlignment="1">
      <alignment horizontal="left" vertical="center"/>
    </xf>
    <xf numFmtId="165" fontId="14" fillId="0" borderId="4" xfId="0" applyNumberFormat="1" applyFont="1" applyFill="1" applyBorder="1" applyAlignment="1" applyProtection="1">
      <alignment horizontal="left" vertical="center"/>
    </xf>
    <xf numFmtId="165" fontId="14" fillId="0" borderId="8" xfId="0" applyFont="1" applyFill="1" applyBorder="1" applyAlignment="1">
      <alignment vertical="center"/>
    </xf>
    <xf numFmtId="171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1" fillId="0" borderId="3" xfId="31" applyFont="1" applyFill="1" applyBorder="1" applyAlignment="1">
      <alignment horizontal="center" vertical="center"/>
    </xf>
    <xf numFmtId="167" fontId="11" fillId="0" borderId="3" xfId="31" applyNumberFormat="1" applyFont="1" applyBorder="1" applyAlignment="1">
      <alignment horizontal="center" vertical="center"/>
    </xf>
    <xf numFmtId="167" fontId="11" fillId="0" borderId="5" xfId="31" applyNumberFormat="1" applyFont="1" applyBorder="1" applyAlignment="1">
      <alignment horizontal="center" vertical="center"/>
    </xf>
    <xf numFmtId="167" fontId="11" fillId="0" borderId="2" xfId="31" applyNumberFormat="1" applyFont="1" applyBorder="1" applyAlignment="1">
      <alignment horizontal="center" vertical="center"/>
    </xf>
    <xf numFmtId="167" fontId="11" fillId="0" borderId="6" xfId="31" applyNumberFormat="1" applyFont="1" applyBorder="1" applyAlignment="1">
      <alignment horizontal="center" vertical="center"/>
    </xf>
    <xf numFmtId="165" fontId="11" fillId="0" borderId="0" xfId="0" applyNumberFormat="1" applyFont="1" applyFill="1" applyBorder="1" applyAlignment="1" applyProtection="1">
      <alignment vertical="center"/>
    </xf>
    <xf numFmtId="0" fontId="11" fillId="0" borderId="5" xfId="31" applyFont="1" applyBorder="1" applyAlignment="1">
      <alignment horizontal="center" vertical="center"/>
    </xf>
    <xf numFmtId="165" fontId="11" fillId="0" borderId="2" xfId="0" applyFont="1" applyFill="1" applyBorder="1" applyAlignment="1">
      <alignment horizontal="left" vertical="center"/>
    </xf>
    <xf numFmtId="169" fontId="11" fillId="0" borderId="16" xfId="0" applyNumberFormat="1" applyFont="1" applyFill="1" applyBorder="1" applyAlignment="1" applyProtection="1">
      <alignment horizontal="center" vertical="center"/>
    </xf>
    <xf numFmtId="168" fontId="11" fillId="0" borderId="16" xfId="0" applyNumberFormat="1" applyFont="1" applyFill="1" applyBorder="1" applyAlignment="1" applyProtection="1">
      <alignment horizontal="center" vertical="center"/>
    </xf>
    <xf numFmtId="0" fontId="14" fillId="0" borderId="2" xfId="31" applyFont="1" applyBorder="1" applyAlignment="1">
      <alignment horizontal="center"/>
    </xf>
    <xf numFmtId="0" fontId="14" fillId="0" borderId="4" xfId="31" applyFont="1" applyBorder="1" applyAlignment="1">
      <alignment horizontal="center"/>
    </xf>
    <xf numFmtId="165" fontId="11" fillId="0" borderId="27" xfId="0" applyFont="1" applyFill="1" applyBorder="1" applyAlignment="1">
      <alignment horizontal="left" vertical="center"/>
    </xf>
    <xf numFmtId="165" fontId="11" fillId="0" borderId="5" xfId="0" applyFont="1" applyFill="1" applyBorder="1" applyAlignment="1">
      <alignment horizontal="left" vertical="center"/>
    </xf>
    <xf numFmtId="0" fontId="11" fillId="0" borderId="3" xfId="31" applyFont="1" applyBorder="1" applyAlignment="1">
      <alignment horizontal="center" vertical="center"/>
    </xf>
    <xf numFmtId="167" fontId="11" fillId="0" borderId="3" xfId="31" applyNumberFormat="1" applyFont="1" applyFill="1" applyBorder="1" applyAlignment="1">
      <alignment horizontal="center" vertical="center"/>
    </xf>
    <xf numFmtId="167" fontId="11" fillId="0" borderId="11" xfId="31" applyNumberFormat="1" applyFont="1" applyBorder="1" applyAlignment="1">
      <alignment horizontal="center" vertical="center"/>
    </xf>
    <xf numFmtId="1" fontId="11" fillId="0" borderId="0" xfId="39" quotePrefix="1" applyNumberFormat="1" applyFont="1" applyAlignment="1"/>
    <xf numFmtId="165" fontId="14" fillId="0" borderId="3" xfId="0" applyFont="1" applyFill="1" applyBorder="1" applyAlignment="1">
      <alignment vertical="center"/>
    </xf>
    <xf numFmtId="167" fontId="11" fillId="0" borderId="0" xfId="0" applyNumberFormat="1" applyFont="1" applyFill="1" applyBorder="1" applyAlignment="1">
      <alignment horizontal="center" vertical="center"/>
    </xf>
    <xf numFmtId="174" fontId="11" fillId="0" borderId="0" xfId="0" applyNumberFormat="1" applyFont="1" applyFill="1" applyBorder="1" applyAlignment="1">
      <alignment horizontal="center" vertical="center"/>
    </xf>
    <xf numFmtId="165" fontId="11" fillId="0" borderId="14" xfId="0" applyFont="1" applyBorder="1" applyAlignment="1">
      <alignment horizontal="center" vertical="center"/>
    </xf>
    <xf numFmtId="167" fontId="11" fillId="0" borderId="0" xfId="31" applyNumberFormat="1" applyFont="1" applyFill="1" applyBorder="1" applyAlignment="1">
      <alignment horizontal="center" vertical="center"/>
    </xf>
    <xf numFmtId="165" fontId="11" fillId="0" borderId="14" xfId="0" applyFont="1" applyFill="1" applyBorder="1" applyAlignment="1">
      <alignment horizontal="center" vertical="center"/>
    </xf>
    <xf numFmtId="165" fontId="6" fillId="0" borderId="0" xfId="0" quotePrefix="1" applyNumberFormat="1" applyFont="1" applyFill="1" applyBorder="1" applyAlignment="1" applyProtection="1">
      <alignment horizontal="centerContinuous" vertical="center"/>
    </xf>
    <xf numFmtId="165" fontId="54" fillId="0" borderId="0" xfId="0" quotePrefix="1" applyNumberFormat="1" applyFont="1" applyFill="1" applyBorder="1" applyAlignment="1" applyProtection="1">
      <alignment horizontal="centerContinuous" vertical="center"/>
    </xf>
    <xf numFmtId="165" fontId="55" fillId="0" borderId="0" xfId="0" applyFont="1" applyFill="1" applyBorder="1" applyAlignment="1">
      <alignment horizontal="centerContinuous" vertical="center"/>
    </xf>
    <xf numFmtId="174" fontId="55" fillId="0" borderId="0" xfId="0" applyNumberFormat="1" applyFont="1" applyFill="1" applyBorder="1" applyAlignment="1">
      <alignment horizontal="centerContinuous" vertical="center"/>
    </xf>
    <xf numFmtId="10" fontId="55" fillId="0" borderId="0" xfId="0" applyNumberFormat="1" applyFont="1" applyFill="1" applyBorder="1" applyAlignment="1">
      <alignment horizontal="centerContinuous" vertical="center"/>
    </xf>
    <xf numFmtId="10" fontId="41" fillId="0" borderId="0" xfId="0" applyNumberFormat="1" applyFont="1" applyFill="1" applyBorder="1" applyAlignment="1">
      <alignment horizontal="centerContinuous" vertical="center"/>
    </xf>
    <xf numFmtId="2" fontId="11" fillId="8" borderId="31" xfId="1" applyNumberFormat="1" applyFont="1" applyFill="1" applyBorder="1" applyAlignment="1">
      <alignment horizontal="center" vertical="center"/>
    </xf>
    <xf numFmtId="2" fontId="11" fillId="8" borderId="26" xfId="1" applyNumberFormat="1" applyFont="1" applyFill="1" applyBorder="1" applyAlignment="1">
      <alignment horizontal="center" vertical="center"/>
    </xf>
    <xf numFmtId="2" fontId="11" fillId="8" borderId="13" xfId="1" applyNumberFormat="1" applyFont="1" applyFill="1" applyBorder="1" applyAlignment="1">
      <alignment horizontal="center" vertical="center"/>
    </xf>
    <xf numFmtId="2" fontId="11" fillId="8" borderId="33" xfId="1" applyNumberFormat="1" applyFont="1" applyFill="1" applyBorder="1" applyAlignment="1">
      <alignment horizontal="center" vertical="center"/>
    </xf>
    <xf numFmtId="169" fontId="11" fillId="0" borderId="0" xfId="0" applyNumberFormat="1" applyFont="1"/>
    <xf numFmtId="0" fontId="11" fillId="0" borderId="0" xfId="34" applyFont="1" applyBorder="1"/>
    <xf numFmtId="165" fontId="14" fillId="0" borderId="0" xfId="0" applyFont="1"/>
    <xf numFmtId="0" fontId="11" fillId="0" borderId="3" xfId="34" applyFont="1" applyBorder="1" applyAlignment="1">
      <alignment horizontal="center" wrapText="1"/>
    </xf>
    <xf numFmtId="165" fontId="11" fillId="0" borderId="0" xfId="34" applyNumberFormat="1" applyFont="1" applyBorder="1"/>
    <xf numFmtId="172" fontId="11" fillId="0" borderId="3" xfId="0" applyNumberFormat="1" applyFont="1" applyFill="1" applyBorder="1" applyAlignment="1">
      <alignment horizontal="center"/>
    </xf>
    <xf numFmtId="165" fontId="52" fillId="0" borderId="3" xfId="34" applyNumberFormat="1" applyFont="1" applyBorder="1" applyAlignment="1">
      <alignment horizontal="center" vertical="top" wrapText="1"/>
    </xf>
    <xf numFmtId="165" fontId="11" fillId="0" borderId="3" xfId="34" applyNumberFormat="1" applyFont="1" applyFill="1" applyBorder="1" applyAlignment="1">
      <alignment horizontal="center" vertical="top" wrapText="1"/>
    </xf>
    <xf numFmtId="172" fontId="11" fillId="0" borderId="0" xfId="0" applyNumberFormat="1" applyFont="1" applyFill="1" applyBorder="1" applyAlignment="1">
      <alignment horizontal="center"/>
    </xf>
    <xf numFmtId="165" fontId="52" fillId="0" borderId="0" xfId="34" applyNumberFormat="1" applyFont="1" applyBorder="1" applyAlignment="1">
      <alignment horizontal="center" vertical="top" wrapText="1"/>
    </xf>
    <xf numFmtId="0" fontId="11" fillId="0" borderId="3" xfId="34" applyFont="1" applyBorder="1" applyAlignment="1">
      <alignment horizontal="center"/>
    </xf>
    <xf numFmtId="165" fontId="11" fillId="0" borderId="5" xfId="0" applyFont="1" applyFill="1" applyBorder="1" applyAlignment="1">
      <alignment horizontal="center"/>
    </xf>
    <xf numFmtId="165" fontId="7" fillId="0" borderId="0" xfId="0" applyNumberFormat="1" applyFont="1" applyFill="1" applyAlignment="1" applyProtection="1">
      <alignment horizontal="centerContinuous" vertical="center"/>
    </xf>
    <xf numFmtId="165" fontId="5" fillId="0" borderId="0" xfId="0" applyFont="1" applyFill="1" applyBorder="1" applyAlignment="1">
      <alignment horizontal="centerContinuous" vertical="center"/>
    </xf>
    <xf numFmtId="165" fontId="5" fillId="0" borderId="0" xfId="0" applyFont="1" applyAlignment="1">
      <alignment horizontal="centerContinuous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60" fillId="0" borderId="0" xfId="0" applyFont="1" applyFill="1" applyBorder="1" applyAlignment="1">
      <alignment horizontal="centerContinuous" vertical="center" wrapText="1"/>
    </xf>
    <xf numFmtId="165" fontId="60" fillId="0" borderId="0" xfId="0" applyFont="1" applyAlignment="1">
      <alignment horizontal="centerContinuous" wrapText="1"/>
    </xf>
    <xf numFmtId="0" fontId="5" fillId="0" borderId="0" xfId="34" applyFont="1" applyBorder="1"/>
    <xf numFmtId="165" fontId="7" fillId="8" borderId="0" xfId="0" applyFont="1" applyFill="1"/>
    <xf numFmtId="165" fontId="11" fillId="8" borderId="0" xfId="0" applyFont="1" applyFill="1"/>
    <xf numFmtId="165" fontId="14" fillId="8" borderId="0" xfId="0" applyFont="1" applyFill="1"/>
    <xf numFmtId="165" fontId="4" fillId="0" borderId="0" xfId="0" applyFont="1" applyFill="1" applyBorder="1" applyAlignment="1">
      <alignment horizontal="centerContinuous" vertical="center" wrapText="1"/>
    </xf>
    <xf numFmtId="165" fontId="56" fillId="0" borderId="0" xfId="0" applyNumberFormat="1" applyFont="1" applyFill="1" applyAlignment="1" applyProtection="1">
      <alignment horizontal="centerContinuous" vertical="center" wrapText="1"/>
    </xf>
    <xf numFmtId="165" fontId="61" fillId="0" borderId="0" xfId="0" applyFont="1" applyFill="1" applyBorder="1" applyAlignment="1">
      <alignment horizontal="centerContinuous" vertical="center" wrapText="1"/>
    </xf>
    <xf numFmtId="165" fontId="7" fillId="0" borderId="0" xfId="0" applyNumberFormat="1" applyFont="1" applyFill="1" applyAlignment="1" applyProtection="1">
      <alignment horizontal="centerContinuous" vertical="center" wrapText="1"/>
    </xf>
    <xf numFmtId="165" fontId="5" fillId="0" borderId="0" xfId="0" applyFont="1" applyFill="1" applyBorder="1" applyAlignment="1">
      <alignment horizontal="centerContinuous" vertical="center" wrapText="1"/>
    </xf>
    <xf numFmtId="165" fontId="56" fillId="0" borderId="0" xfId="0" applyFont="1" applyBorder="1" applyAlignment="1">
      <alignment horizontal="centerContinuous"/>
    </xf>
    <xf numFmtId="165" fontId="62" fillId="0" borderId="0" xfId="0" applyFont="1" applyBorder="1" applyAlignment="1">
      <alignment horizontal="centerContinuous"/>
    </xf>
    <xf numFmtId="165" fontId="62" fillId="0" borderId="0" xfId="0" applyFont="1" applyAlignment="1">
      <alignment horizontal="centerContinuous"/>
    </xf>
    <xf numFmtId="1" fontId="11" fillId="0" borderId="3" xfId="39" applyNumberFormat="1" applyFont="1" applyBorder="1"/>
    <xf numFmtId="0" fontId="14" fillId="0" borderId="3" xfId="31" applyFont="1" applyBorder="1" applyAlignment="1">
      <alignment horizontal="center"/>
    </xf>
    <xf numFmtId="1" fontId="11" fillId="0" borderId="3" xfId="39" quotePrefix="1" applyNumberFormat="1" applyFont="1" applyBorder="1" applyAlignment="1"/>
    <xf numFmtId="0" fontId="11" fillId="0" borderId="0" xfId="31" applyFont="1"/>
    <xf numFmtId="9" fontId="11" fillId="0" borderId="0" xfId="31" applyNumberFormat="1" applyFont="1"/>
    <xf numFmtId="10" fontId="11" fillId="0" borderId="0" xfId="31" applyNumberFormat="1" applyFont="1" applyFill="1" applyBorder="1"/>
    <xf numFmtId="0" fontId="14" fillId="0" borderId="5" xfId="30" applyFont="1" applyFill="1" applyBorder="1" applyAlignment="1">
      <alignment horizontal="center" vertical="center" wrapText="1"/>
    </xf>
    <xf numFmtId="165" fontId="14" fillId="0" borderId="3" xfId="30" applyNumberFormat="1" applyFont="1" applyFill="1" applyBorder="1" applyAlignment="1" applyProtection="1">
      <alignment horizontal="center" vertical="center" wrapText="1"/>
    </xf>
    <xf numFmtId="165" fontId="14" fillId="0" borderId="2" xfId="30" applyNumberFormat="1" applyFont="1" applyFill="1" applyBorder="1" applyAlignment="1" applyProtection="1">
      <alignment horizontal="center" vertical="center" wrapText="1"/>
    </xf>
    <xf numFmtId="0" fontId="11" fillId="0" borderId="3" xfId="30" applyFont="1" applyFill="1" applyBorder="1" applyAlignment="1">
      <alignment vertical="center"/>
    </xf>
    <xf numFmtId="0" fontId="11" fillId="0" borderId="5" xfId="30" applyFont="1" applyFill="1" applyBorder="1" applyAlignment="1">
      <alignment vertical="center"/>
    </xf>
    <xf numFmtId="0" fontId="11" fillId="0" borderId="0" xfId="32" applyFont="1"/>
    <xf numFmtId="2" fontId="11" fillId="0" borderId="3" xfId="30" applyNumberFormat="1" applyFont="1" applyFill="1" applyBorder="1" applyAlignment="1" applyProtection="1">
      <alignment horizontal="center" vertical="center"/>
      <protection locked="0"/>
    </xf>
    <xf numFmtId="0" fontId="62" fillId="0" borderId="0" xfId="32" applyFont="1"/>
    <xf numFmtId="1" fontId="20" fillId="0" borderId="0" xfId="39" applyNumberFormat="1" applyFont="1" applyFill="1" applyBorder="1" applyAlignment="1">
      <alignment horizontal="center"/>
    </xf>
    <xf numFmtId="0" fontId="20" fillId="0" borderId="0" xfId="29" applyFont="1"/>
    <xf numFmtId="1" fontId="20" fillId="0" borderId="0" xfId="39" applyNumberFormat="1" applyFont="1"/>
    <xf numFmtId="0" fontId="20" fillId="0" borderId="0" xfId="31" applyFont="1"/>
    <xf numFmtId="0" fontId="11" fillId="0" borderId="0" xfId="30" applyFont="1" applyAlignment="1"/>
    <xf numFmtId="10" fontId="11" fillId="0" borderId="0" xfId="39" applyNumberFormat="1" applyFont="1" applyAlignment="1">
      <alignment horizontal="centerContinuous"/>
    </xf>
    <xf numFmtId="167" fontId="4" fillId="0" borderId="11" xfId="0" applyNumberFormat="1" applyFont="1" applyBorder="1" applyAlignment="1">
      <alignment horizontal="center" wrapText="1"/>
    </xf>
    <xf numFmtId="167" fontId="4" fillId="0" borderId="7" xfId="0" applyNumberFormat="1" applyFont="1" applyFill="1" applyBorder="1" applyAlignment="1">
      <alignment horizontal="center" wrapText="1"/>
    </xf>
    <xf numFmtId="167" fontId="14" fillId="0" borderId="3" xfId="0" applyNumberFormat="1" applyFont="1" applyFill="1" applyBorder="1" applyAlignment="1">
      <alignment horizontal="center" vertical="center" wrapText="1"/>
    </xf>
    <xf numFmtId="1" fontId="11" fillId="8" borderId="3" xfId="39" quotePrefix="1" applyNumberFormat="1" applyFont="1" applyFill="1" applyBorder="1" applyAlignment="1"/>
    <xf numFmtId="0" fontId="11" fillId="8" borderId="3" xfId="29" applyFont="1" applyFill="1" applyBorder="1" applyAlignment="1">
      <alignment horizontal="center" vertical="center" wrapText="1"/>
    </xf>
    <xf numFmtId="0" fontId="14" fillId="0" borderId="5" xfId="33" applyNumberFormat="1" applyFont="1" applyBorder="1" applyAlignment="1">
      <alignment horizontal="center" wrapText="1"/>
    </xf>
    <xf numFmtId="0" fontId="11" fillId="0" borderId="0" xfId="30" applyFont="1" applyBorder="1" applyAlignment="1">
      <alignment horizontal="centerContinuous"/>
    </xf>
    <xf numFmtId="0" fontId="11" fillId="0" borderId="0" xfId="30" applyFont="1" applyAlignment="1">
      <alignment vertical="center"/>
    </xf>
    <xf numFmtId="0" fontId="11" fillId="0" borderId="0" xfId="30" applyFont="1" applyBorder="1" applyAlignment="1">
      <alignment horizontal="centerContinuous" vertical="center"/>
    </xf>
    <xf numFmtId="165" fontId="14" fillId="0" borderId="0" xfId="0" quotePrefix="1" applyNumberFormat="1" applyFont="1" applyFill="1" applyBorder="1" applyAlignment="1" applyProtection="1">
      <alignment horizontal="left" vertical="center"/>
    </xf>
    <xf numFmtId="165" fontId="14" fillId="0" borderId="0" xfId="0" quotePrefix="1" applyNumberFormat="1" applyFont="1" applyFill="1" applyAlignment="1" applyProtection="1">
      <alignment horizontal="left" vertical="center"/>
    </xf>
    <xf numFmtId="166" fontId="14" fillId="0" borderId="7" xfId="0" applyNumberFormat="1" applyFont="1" applyFill="1" applyBorder="1" applyAlignment="1">
      <alignment horizontal="center"/>
    </xf>
    <xf numFmtId="165" fontId="11" fillId="0" borderId="11" xfId="0" applyFont="1" applyBorder="1" applyAlignment="1">
      <alignment horizontal="center"/>
    </xf>
    <xf numFmtId="165" fontId="1" fillId="0" borderId="11" xfId="0" applyFont="1" applyBorder="1"/>
    <xf numFmtId="165" fontId="11" fillId="0" borderId="14" xfId="0" applyFont="1" applyBorder="1" applyAlignment="1">
      <alignment horizontal="center"/>
    </xf>
    <xf numFmtId="165" fontId="1" fillId="0" borderId="14" xfId="0" applyFont="1" applyBorder="1"/>
    <xf numFmtId="165" fontId="11" fillId="0" borderId="7" xfId="0" applyFont="1" applyBorder="1" applyAlignment="1">
      <alignment horizontal="center"/>
    </xf>
    <xf numFmtId="165" fontId="1" fillId="0" borderId="7" xfId="0" applyFont="1" applyBorder="1"/>
    <xf numFmtId="166" fontId="11" fillId="8" borderId="14" xfId="0" applyNumberFormat="1" applyFont="1" applyFill="1" applyBorder="1" applyAlignment="1">
      <alignment horizontal="center"/>
    </xf>
    <xf numFmtId="165" fontId="11" fillId="0" borderId="25" xfId="0" applyFont="1" applyBorder="1" applyAlignment="1">
      <alignment horizontal="center"/>
    </xf>
    <xf numFmtId="165" fontId="14" fillId="0" borderId="10" xfId="0" applyFont="1" applyFill="1" applyBorder="1"/>
    <xf numFmtId="167" fontId="14" fillId="0" borderId="7" xfId="0" applyNumberFormat="1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 wrapText="1"/>
    </xf>
    <xf numFmtId="2" fontId="4" fillId="8" borderId="5" xfId="0" applyNumberFormat="1" applyFont="1" applyFill="1" applyBorder="1" applyAlignment="1">
      <alignment horizontal="center" wrapText="1"/>
    </xf>
    <xf numFmtId="2" fontId="4" fillId="8" borderId="11" xfId="0" applyNumberFormat="1" applyFont="1" applyFill="1" applyBorder="1" applyAlignment="1">
      <alignment horizontal="center" wrapText="1"/>
    </xf>
    <xf numFmtId="166" fontId="11" fillId="8" borderId="11" xfId="0" applyNumberFormat="1" applyFont="1" applyFill="1" applyBorder="1" applyAlignment="1">
      <alignment horizontal="center"/>
    </xf>
    <xf numFmtId="165" fontId="14" fillId="0" borderId="0" xfId="0" quotePrefix="1" applyNumberFormat="1" applyFont="1" applyFill="1" applyBorder="1" applyAlignment="1" applyProtection="1">
      <alignment horizontal="centerContinuous" vertical="center"/>
    </xf>
    <xf numFmtId="165" fontId="11" fillId="0" borderId="0" xfId="0" applyFont="1" applyBorder="1" applyAlignment="1">
      <alignment horizontal="centerContinuous"/>
    </xf>
    <xf numFmtId="0" fontId="11" fillId="0" borderId="5" xfId="30" applyFont="1" applyFill="1" applyBorder="1"/>
    <xf numFmtId="0" fontId="11" fillId="0" borderId="6" xfId="30" applyFont="1" applyFill="1" applyBorder="1" applyAlignment="1">
      <alignment horizontal="right"/>
    </xf>
    <xf numFmtId="187" fontId="14" fillId="0" borderId="7" xfId="30" applyNumberFormat="1" applyFont="1" applyFill="1" applyBorder="1" applyAlignment="1" applyProtection="1">
      <alignment horizontal="center" vertical="center"/>
    </xf>
    <xf numFmtId="0" fontId="11" fillId="0" borderId="5" xfId="30" applyFont="1" applyBorder="1" applyAlignment="1">
      <alignment horizontal="centerContinuous"/>
    </xf>
    <xf numFmtId="165" fontId="19" fillId="0" borderId="0" xfId="0" applyFont="1" applyBorder="1" applyAlignment="1">
      <alignment horizontal="centerContinuous"/>
    </xf>
    <xf numFmtId="2" fontId="11" fillId="0" borderId="3" xfId="30" applyNumberFormat="1" applyFont="1" applyFill="1" applyBorder="1" applyAlignment="1" applyProtection="1">
      <alignment horizontal="center" vertical="center"/>
    </xf>
    <xf numFmtId="0" fontId="11" fillId="0" borderId="0" xfId="30" applyFont="1" applyFill="1"/>
    <xf numFmtId="0" fontId="14" fillId="0" borderId="3" xfId="30" applyFont="1" applyFill="1" applyBorder="1" applyAlignment="1">
      <alignment horizontal="centerContinuous" vertical="center" wrapText="1"/>
    </xf>
    <xf numFmtId="0" fontId="11" fillId="0" borderId="3" xfId="30" applyFont="1" applyBorder="1" applyAlignment="1">
      <alignment horizontal="center" vertical="center"/>
    </xf>
    <xf numFmtId="0" fontId="11" fillId="0" borderId="3" xfId="30" applyFont="1" applyBorder="1" applyAlignment="1">
      <alignment horizontal="center" vertical="center" wrapText="1"/>
    </xf>
    <xf numFmtId="0" fontId="11" fillId="0" borderId="5" xfId="30" applyFont="1" applyBorder="1" applyAlignment="1">
      <alignment horizontal="center" vertical="center" wrapText="1"/>
    </xf>
    <xf numFmtId="0" fontId="11" fillId="0" borderId="6" xfId="30" applyFont="1" applyBorder="1" applyAlignment="1">
      <alignment horizontal="center" vertical="center"/>
    </xf>
    <xf numFmtId="0" fontId="11" fillId="0" borderId="8" xfId="30" applyFont="1" applyBorder="1"/>
    <xf numFmtId="0" fontId="11" fillId="0" borderId="27" xfId="30" applyFont="1" applyBorder="1"/>
    <xf numFmtId="0" fontId="11" fillId="0" borderId="12" xfId="30" applyFont="1" applyBorder="1"/>
    <xf numFmtId="0" fontId="11" fillId="0" borderId="15" xfId="30" applyFont="1" applyBorder="1"/>
    <xf numFmtId="0" fontId="14" fillId="0" borderId="0" xfId="30" applyFont="1" applyBorder="1" applyAlignment="1">
      <alignment horizontal="centerContinuous"/>
    </xf>
    <xf numFmtId="0" fontId="11" fillId="0" borderId="0" xfId="30" applyFont="1" applyBorder="1"/>
    <xf numFmtId="0" fontId="11" fillId="0" borderId="26" xfId="30" applyFont="1" applyBorder="1"/>
    <xf numFmtId="0" fontId="11" fillId="0" borderId="10" xfId="30" applyFont="1" applyBorder="1"/>
    <xf numFmtId="0" fontId="11" fillId="0" borderId="4" xfId="30" applyFont="1" applyBorder="1"/>
    <xf numFmtId="0" fontId="11" fillId="0" borderId="13" xfId="30" applyFont="1" applyBorder="1"/>
    <xf numFmtId="0" fontId="14" fillId="0" borderId="0" xfId="30" applyFont="1" applyBorder="1" applyAlignment="1">
      <alignment horizontal="left"/>
    </xf>
    <xf numFmtId="2" fontId="11" fillId="8" borderId="3" xfId="30" applyNumberFormat="1" applyFont="1" applyFill="1" applyBorder="1" applyAlignment="1">
      <alignment horizontal="center" vertical="center"/>
    </xf>
    <xf numFmtId="2" fontId="11" fillId="0" borderId="2" xfId="30" applyNumberFormat="1" applyFont="1" applyFill="1" applyBorder="1" applyAlignment="1" applyProtection="1">
      <alignment horizontal="center" vertical="center"/>
      <protection locked="0"/>
    </xf>
    <xf numFmtId="0" fontId="11" fillId="0" borderId="2" xfId="30" applyFont="1" applyBorder="1" applyAlignment="1">
      <alignment horizontal="centerContinuous"/>
    </xf>
    <xf numFmtId="0" fontId="11" fillId="0" borderId="6" xfId="30" applyFont="1" applyBorder="1" applyAlignment="1">
      <alignment horizontal="centerContinuous"/>
    </xf>
    <xf numFmtId="189" fontId="11" fillId="8" borderId="6" xfId="30" applyNumberFormat="1" applyFont="1" applyFill="1" applyBorder="1" applyAlignment="1">
      <alignment horizontal="centerContinuous"/>
    </xf>
    <xf numFmtId="190" fontId="11" fillId="8" borderId="3" xfId="30" applyNumberFormat="1" applyFont="1" applyFill="1" applyBorder="1" applyAlignment="1">
      <alignment horizontal="centerContinuous"/>
    </xf>
    <xf numFmtId="2" fontId="11" fillId="10" borderId="3" xfId="30" applyNumberFormat="1" applyFont="1" applyFill="1" applyBorder="1" applyAlignment="1" applyProtection="1">
      <alignment horizontal="center" vertical="center"/>
    </xf>
    <xf numFmtId="0" fontId="11" fillId="10" borderId="3" xfId="30" applyFont="1" applyFill="1" applyBorder="1"/>
    <xf numFmtId="2" fontId="11" fillId="10" borderId="2" xfId="30" applyNumberFormat="1" applyFont="1" applyFill="1" applyBorder="1" applyAlignment="1" applyProtection="1">
      <alignment horizontal="center" vertical="center"/>
      <protection locked="0"/>
    </xf>
    <xf numFmtId="2" fontId="11" fillId="10" borderId="3" xfId="30" applyNumberFormat="1" applyFont="1" applyFill="1" applyBorder="1" applyAlignment="1" applyProtection="1">
      <alignment horizontal="center" vertical="center"/>
      <protection locked="0"/>
    </xf>
    <xf numFmtId="2" fontId="11" fillId="8" borderId="6" xfId="30" applyNumberFormat="1" applyFont="1" applyFill="1" applyBorder="1" applyAlignment="1">
      <alignment horizontal="center" vertical="center"/>
    </xf>
    <xf numFmtId="0" fontId="11" fillId="0" borderId="5" xfId="30" applyFont="1" applyFill="1" applyBorder="1" applyAlignment="1">
      <alignment horizontal="centerContinuous" vertical="center"/>
    </xf>
    <xf numFmtId="2" fontId="11" fillId="0" borderId="6" xfId="30" applyNumberFormat="1" applyFont="1" applyFill="1" applyBorder="1" applyAlignment="1">
      <alignment horizontal="centerContinuous" vertical="center"/>
    </xf>
    <xf numFmtId="167" fontId="11" fillId="8" borderId="6" xfId="30" applyNumberFormat="1" applyFont="1" applyFill="1" applyBorder="1" applyAlignment="1">
      <alignment horizontal="center" vertical="center"/>
    </xf>
    <xf numFmtId="187" fontId="11" fillId="0" borderId="3" xfId="30" applyNumberFormat="1" applyFont="1" applyFill="1" applyBorder="1" applyAlignment="1" applyProtection="1">
      <alignment horizontal="center" vertical="center"/>
    </xf>
    <xf numFmtId="169" fontId="11" fillId="0" borderId="3" xfId="30" applyNumberFormat="1" applyFont="1" applyFill="1" applyBorder="1" applyAlignment="1">
      <alignment horizontal="center"/>
    </xf>
    <xf numFmtId="0" fontId="14" fillId="0" borderId="3" xfId="30" applyFont="1" applyBorder="1" applyAlignment="1">
      <alignment horizontal="centerContinuous"/>
    </xf>
    <xf numFmtId="168" fontId="11" fillId="8" borderId="3" xfId="30" applyNumberFormat="1" applyFont="1" applyFill="1" applyBorder="1" applyAlignment="1" applyProtection="1">
      <alignment horizontal="center"/>
      <protection locked="0"/>
    </xf>
    <xf numFmtId="169" fontId="11" fillId="8" borderId="3" xfId="30" applyNumberFormat="1" applyFont="1" applyFill="1" applyBorder="1" applyAlignment="1" applyProtection="1">
      <alignment horizontal="center"/>
      <protection locked="0"/>
    </xf>
    <xf numFmtId="0" fontId="14" fillId="0" borderId="15" xfId="30" applyFont="1" applyFill="1" applyBorder="1" applyAlignment="1">
      <alignment horizontal="centerContinuous"/>
    </xf>
    <xf numFmtId="0" fontId="11" fillId="0" borderId="0" xfId="30" applyFont="1" applyFill="1" applyBorder="1" applyAlignment="1">
      <alignment horizontal="centerContinuous"/>
    </xf>
    <xf numFmtId="0" fontId="11" fillId="0" borderId="26" xfId="30" applyFont="1" applyFill="1" applyBorder="1" applyAlignment="1">
      <alignment horizontal="centerContinuous"/>
    </xf>
    <xf numFmtId="0" fontId="14" fillId="0" borderId="4" xfId="30" applyFont="1" applyBorder="1" applyAlignment="1">
      <alignment horizontal="center"/>
    </xf>
    <xf numFmtId="165" fontId="45" fillId="0" borderId="0" xfId="30" applyNumberFormat="1" applyFont="1" applyFill="1" applyBorder="1" applyAlignment="1" applyProtection="1">
      <alignment horizontal="center" vertical="center"/>
    </xf>
    <xf numFmtId="187" fontId="14" fillId="0" borderId="0" xfId="30" applyNumberFormat="1" applyFont="1" applyFill="1" applyBorder="1" applyAlignment="1" applyProtection="1">
      <alignment horizontal="center" vertical="center"/>
    </xf>
    <xf numFmtId="187" fontId="45" fillId="0" borderId="0" xfId="30" applyNumberFormat="1" applyFont="1" applyFill="1" applyBorder="1" applyAlignment="1" applyProtection="1">
      <alignment horizontal="center" vertical="center"/>
    </xf>
    <xf numFmtId="0" fontId="11" fillId="0" borderId="0" xfId="30" applyFont="1" applyAlignment="1">
      <alignment horizontal="center"/>
    </xf>
    <xf numFmtId="0" fontId="40" fillId="0" borderId="0" xfId="17" applyFont="1" applyAlignment="1" applyProtection="1">
      <alignment horizontal="centerContinuous" vertical="center"/>
    </xf>
    <xf numFmtId="0" fontId="11" fillId="0" borderId="0" xfId="30" applyFont="1" applyAlignment="1">
      <alignment horizontal="centerContinuous" vertical="center"/>
    </xf>
    <xf numFmtId="189" fontId="11" fillId="8" borderId="3" xfId="30" applyNumberFormat="1" applyFont="1" applyFill="1" applyBorder="1" applyAlignment="1">
      <alignment horizontal="centerContinuous"/>
    </xf>
    <xf numFmtId="0" fontId="11" fillId="8" borderId="2" xfId="30" applyFont="1" applyFill="1" applyBorder="1" applyAlignment="1">
      <alignment horizontal="centerContinuous"/>
    </xf>
    <xf numFmtId="168" fontId="14" fillId="0" borderId="3" xfId="33" applyNumberFormat="1" applyFont="1" applyBorder="1" applyAlignment="1">
      <alignment horizontal="center" wrapText="1"/>
    </xf>
    <xf numFmtId="167" fontId="0" fillId="0" borderId="8" xfId="0" applyNumberFormat="1" applyBorder="1"/>
    <xf numFmtId="165" fontId="0" fillId="0" borderId="27" xfId="0" applyBorder="1"/>
    <xf numFmtId="165" fontId="0" fillId="0" borderId="12" xfId="0" applyBorder="1"/>
    <xf numFmtId="165" fontId="0" fillId="0" borderId="15" xfId="0" applyBorder="1"/>
    <xf numFmtId="165" fontId="0" fillId="0" borderId="0" xfId="0" applyBorder="1"/>
    <xf numFmtId="165" fontId="0" fillId="0" borderId="26" xfId="0" applyBorder="1"/>
    <xf numFmtId="165" fontId="0" fillId="0" borderId="10" xfId="0" applyBorder="1"/>
    <xf numFmtId="165" fontId="0" fillId="0" borderId="4" xfId="0" applyBorder="1"/>
    <xf numFmtId="165" fontId="0" fillId="0" borderId="13" xfId="0" applyBorder="1"/>
    <xf numFmtId="165" fontId="0" fillId="0" borderId="8" xfId="0" applyBorder="1"/>
    <xf numFmtId="165" fontId="47" fillId="0" borderId="0" xfId="0" applyNumberFormat="1" applyFont="1" applyFill="1" applyBorder="1" applyAlignment="1" applyProtection="1">
      <alignment horizontal="left" vertical="center"/>
    </xf>
    <xf numFmtId="0" fontId="20" fillId="0" borderId="0" xfId="29" applyFont="1" applyFill="1"/>
    <xf numFmtId="0" fontId="20" fillId="7" borderId="0" xfId="31" applyFont="1" applyFill="1"/>
    <xf numFmtId="0" fontId="20" fillId="7" borderId="0" xfId="29" applyFont="1" applyFill="1"/>
    <xf numFmtId="165" fontId="19" fillId="7" borderId="0" xfId="0" applyNumberFormat="1" applyFont="1" applyFill="1" applyBorder="1" applyAlignment="1" applyProtection="1">
      <alignment horizontal="left" vertical="center"/>
    </xf>
    <xf numFmtId="187" fontId="11" fillId="0" borderId="8" xfId="30" applyNumberFormat="1" applyFont="1" applyBorder="1" applyAlignment="1"/>
    <xf numFmtId="2" fontId="11" fillId="0" borderId="11" xfId="30" applyNumberFormat="1" applyFont="1" applyBorder="1" applyAlignment="1" applyProtection="1">
      <protection locked="0"/>
    </xf>
    <xf numFmtId="187" fontId="11" fillId="0" borderId="15" xfId="30" applyNumberFormat="1" applyFont="1" applyBorder="1" applyAlignment="1"/>
    <xf numFmtId="2" fontId="11" fillId="0" borderId="14" xfId="30" applyNumberFormat="1" applyFont="1" applyBorder="1" applyAlignment="1" applyProtection="1">
      <protection locked="0"/>
    </xf>
    <xf numFmtId="187" fontId="11" fillId="0" borderId="5" xfId="30" applyNumberFormat="1" applyFont="1" applyFill="1" applyBorder="1" applyAlignment="1"/>
    <xf numFmtId="2" fontId="11" fillId="8" borderId="3" xfId="30" applyNumberFormat="1" applyFont="1" applyFill="1" applyBorder="1" applyAlignment="1" applyProtection="1">
      <protection locked="0"/>
    </xf>
    <xf numFmtId="188" fontId="11" fillId="0" borderId="8" xfId="18" applyNumberFormat="1" applyFont="1" applyFill="1" applyBorder="1" applyAlignment="1" applyProtection="1">
      <protection locked="0"/>
    </xf>
    <xf numFmtId="168" fontId="11" fillId="0" borderId="11" xfId="33" applyNumberFormat="1" applyFont="1" applyFill="1" applyBorder="1" applyAlignment="1" applyProtection="1">
      <protection locked="0"/>
    </xf>
    <xf numFmtId="188" fontId="11" fillId="0" borderId="15" xfId="18" applyNumberFormat="1" applyFont="1" applyFill="1" applyBorder="1" applyAlignment="1" applyProtection="1"/>
    <xf numFmtId="168" fontId="11" fillId="0" borderId="14" xfId="33" applyNumberFormat="1" applyFont="1" applyFill="1" applyBorder="1" applyAlignment="1" applyProtection="1">
      <protection locked="0"/>
    </xf>
    <xf numFmtId="188" fontId="11" fillId="0" borderId="10" xfId="18" applyNumberFormat="1" applyFont="1" applyFill="1" applyBorder="1" applyAlignment="1" applyProtection="1"/>
    <xf numFmtId="168" fontId="11" fillId="0" borderId="7" xfId="33" applyNumberFormat="1" applyFont="1" applyFill="1" applyBorder="1" applyAlignment="1" applyProtection="1">
      <protection locked="0"/>
    </xf>
    <xf numFmtId="188" fontId="11" fillId="6" borderId="15" xfId="18" applyNumberFormat="1" applyFont="1" applyFill="1" applyBorder="1" applyAlignment="1" applyProtection="1"/>
    <xf numFmtId="168" fontId="11" fillId="6" borderId="14" xfId="33" applyNumberFormat="1" applyFont="1" applyFill="1" applyBorder="1" applyAlignment="1" applyProtection="1">
      <protection locked="0"/>
    </xf>
    <xf numFmtId="188" fontId="11" fillId="0" borderId="15" xfId="18" applyNumberFormat="1" applyFont="1" applyBorder="1" applyAlignment="1" applyProtection="1"/>
    <xf numFmtId="168" fontId="11" fillId="0" borderId="14" xfId="33" applyNumberFormat="1" applyFont="1" applyBorder="1" applyAlignment="1" applyProtection="1">
      <protection locked="0"/>
    </xf>
    <xf numFmtId="188" fontId="11" fillId="0" borderId="10" xfId="18" applyNumberFormat="1" applyFont="1" applyBorder="1" applyAlignment="1" applyProtection="1"/>
    <xf numFmtId="168" fontId="11" fillId="7" borderId="7" xfId="33" applyNumberFormat="1" applyFont="1" applyFill="1" applyBorder="1" applyAlignment="1" applyProtection="1">
      <protection locked="0"/>
    </xf>
    <xf numFmtId="168" fontId="11" fillId="8" borderId="14" xfId="33" applyNumberFormat="1" applyFont="1" applyFill="1" applyBorder="1" applyAlignment="1" applyProtection="1">
      <protection locked="0"/>
    </xf>
    <xf numFmtId="168" fontId="11" fillId="8" borderId="7" xfId="33" applyNumberFormat="1" applyFont="1" applyFill="1" applyBorder="1" applyAlignment="1" applyProtection="1">
      <protection locked="0"/>
    </xf>
    <xf numFmtId="0" fontId="14" fillId="0" borderId="3" xfId="33" applyNumberFormat="1" applyFont="1" applyBorder="1" applyAlignment="1">
      <alignment horizontal="center" vertical="center" wrapText="1"/>
    </xf>
    <xf numFmtId="164" fontId="11" fillId="8" borderId="3" xfId="31" applyNumberFormat="1" applyFont="1" applyFill="1" applyBorder="1" applyAlignment="1">
      <alignment horizontal="center"/>
    </xf>
    <xf numFmtId="164" fontId="11" fillId="0" borderId="3" xfId="31" applyNumberFormat="1" applyFont="1" applyFill="1" applyBorder="1" applyAlignment="1">
      <alignment horizontal="center"/>
    </xf>
    <xf numFmtId="167" fontId="11" fillId="8" borderId="3" xfId="0" applyNumberFormat="1" applyFont="1" applyFill="1" applyBorder="1" applyAlignment="1">
      <alignment horizontal="center" vertical="center" wrapText="1"/>
    </xf>
    <xf numFmtId="0" fontId="14" fillId="0" borderId="0" xfId="30" applyFont="1" applyFill="1" applyBorder="1" applyAlignment="1">
      <alignment horizontal="centerContinuous"/>
    </xf>
    <xf numFmtId="187" fontId="14" fillId="0" borderId="3" xfId="30" applyNumberFormat="1" applyFont="1" applyFill="1" applyBorder="1" applyAlignment="1" applyProtection="1">
      <alignment horizontal="centerContinuous" vertical="center"/>
    </xf>
    <xf numFmtId="165" fontId="45" fillId="0" borderId="0" xfId="30" applyNumberFormat="1" applyFont="1" applyFill="1" applyBorder="1" applyAlignment="1" applyProtection="1">
      <alignment horizontal="centerContinuous" vertical="center"/>
    </xf>
    <xf numFmtId="0" fontId="11" fillId="0" borderId="0" xfId="30" applyFont="1" applyBorder="1" applyAlignment="1">
      <alignment vertical="center"/>
    </xf>
    <xf numFmtId="168" fontId="14" fillId="0" borderId="0" xfId="33" applyNumberFormat="1" applyFont="1" applyBorder="1" applyAlignment="1">
      <alignment horizontal="left" wrapText="1"/>
    </xf>
    <xf numFmtId="10" fontId="11" fillId="0" borderId="0" xfId="39" applyNumberFormat="1" applyFont="1" applyBorder="1" applyAlignment="1">
      <alignment horizontal="centerContinuous"/>
    </xf>
    <xf numFmtId="187" fontId="11" fillId="0" borderId="3" xfId="30" applyNumberFormat="1" applyFont="1" applyFill="1" applyBorder="1" applyAlignment="1">
      <alignment horizontal="center"/>
    </xf>
    <xf numFmtId="0" fontId="64" fillId="0" borderId="0" xfId="17" applyFont="1" applyBorder="1" applyAlignment="1" applyProtection="1">
      <alignment horizontal="centerContinuous"/>
    </xf>
    <xf numFmtId="0" fontId="64" fillId="0" borderId="0" xfId="17" applyFont="1" applyBorder="1" applyAlignment="1" applyProtection="1">
      <alignment horizontal="centerContinuous" vertical="center"/>
    </xf>
    <xf numFmtId="0" fontId="64" fillId="0" borderId="0" xfId="17" applyFont="1" applyAlignment="1" applyProtection="1">
      <alignment horizontal="centerContinuous" vertical="center"/>
    </xf>
    <xf numFmtId="167" fontId="11" fillId="0" borderId="3" xfId="30" applyNumberFormat="1" applyFont="1" applyFill="1" applyBorder="1" applyAlignment="1" applyProtection="1">
      <alignment horizontal="center" vertical="center"/>
    </xf>
    <xf numFmtId="165" fontId="11" fillId="0" borderId="0" xfId="0" applyFont="1" applyAlignment="1">
      <alignment vertical="center"/>
    </xf>
    <xf numFmtId="167" fontId="14" fillId="0" borderId="0" xfId="0" applyNumberFormat="1" applyFont="1" applyAlignment="1">
      <alignment horizontal="center"/>
    </xf>
    <xf numFmtId="165" fontId="11" fillId="0" borderId="3" xfId="0" applyFont="1" applyBorder="1" applyAlignment="1">
      <alignment horizontal="left" vertical="center"/>
    </xf>
    <xf numFmtId="165" fontId="11" fillId="0" borderId="5" xfId="0" applyFont="1" applyBorder="1" applyAlignment="1">
      <alignment horizontal="left" vertical="center"/>
    </xf>
    <xf numFmtId="165" fontId="11" fillId="0" borderId="3" xfId="0" applyFont="1" applyBorder="1" applyAlignment="1">
      <alignment vertical="center"/>
    </xf>
    <xf numFmtId="165" fontId="11" fillId="0" borderId="0" xfId="0" applyFont="1" applyBorder="1" applyAlignment="1">
      <alignment horizontal="left" vertical="center"/>
    </xf>
    <xf numFmtId="165" fontId="11" fillId="0" borderId="9" xfId="0" applyFont="1" applyBorder="1" applyAlignment="1">
      <alignment horizontal="left" vertical="center"/>
    </xf>
    <xf numFmtId="165" fontId="11" fillId="0" borderId="0" xfId="0" applyFont="1" applyBorder="1" applyAlignment="1">
      <alignment vertical="center"/>
    </xf>
    <xf numFmtId="165" fontId="14" fillId="0" borderId="0" xfId="0" applyFont="1" applyFill="1" applyAlignment="1">
      <alignment horizontal="center" vertical="center"/>
    </xf>
    <xf numFmtId="165" fontId="14" fillId="0" borderId="7" xfId="0" applyFont="1" applyFill="1" applyBorder="1" applyAlignment="1">
      <alignment vertical="center"/>
    </xf>
    <xf numFmtId="165" fontId="14" fillId="0" borderId="10" xfId="0" applyFont="1" applyFill="1" applyBorder="1" applyAlignment="1">
      <alignment vertical="center"/>
    </xf>
    <xf numFmtId="165" fontId="14" fillId="0" borderId="0" xfId="0" applyFont="1" applyFill="1" applyBorder="1" applyAlignment="1">
      <alignment vertical="center"/>
    </xf>
    <xf numFmtId="167" fontId="14" fillId="0" borderId="0" xfId="0" applyNumberFormat="1" applyFont="1" applyFill="1" applyBorder="1" applyAlignment="1">
      <alignment horizontal="center" vertical="center"/>
    </xf>
    <xf numFmtId="165" fontId="11" fillId="0" borderId="10" xfId="0" applyFont="1" applyBorder="1" applyAlignment="1">
      <alignment horizontal="center"/>
    </xf>
    <xf numFmtId="164" fontId="11" fillId="0" borderId="11" xfId="31" applyNumberFormat="1" applyFont="1" applyFill="1" applyBorder="1" applyAlignment="1">
      <alignment horizontal="center"/>
    </xf>
    <xf numFmtId="164" fontId="11" fillId="0" borderId="14" xfId="31" applyNumberFormat="1" applyFont="1" applyFill="1" applyBorder="1" applyAlignment="1">
      <alignment horizontal="center"/>
    </xf>
    <xf numFmtId="164" fontId="11" fillId="0" borderId="7" xfId="31" applyNumberFormat="1" applyFont="1" applyFill="1" applyBorder="1" applyAlignment="1">
      <alignment horizontal="center"/>
    </xf>
    <xf numFmtId="165" fontId="14" fillId="0" borderId="3" xfId="0" applyFont="1" applyBorder="1" applyAlignment="1">
      <alignment horizontal="center"/>
    </xf>
    <xf numFmtId="166" fontId="65" fillId="13" borderId="26" xfId="0" applyNumberFormat="1" applyFont="1" applyFill="1" applyBorder="1" applyAlignment="1" applyProtection="1">
      <alignment horizontal="center" vertical="center"/>
    </xf>
    <xf numFmtId="166" fontId="65" fillId="11" borderId="26" xfId="0" applyNumberFormat="1" applyFont="1" applyFill="1" applyBorder="1" applyAlignment="1" applyProtection="1">
      <alignment horizontal="center" vertical="center"/>
    </xf>
    <xf numFmtId="166" fontId="65" fillId="12" borderId="26" xfId="0" applyNumberFormat="1" applyFont="1" applyFill="1" applyBorder="1" applyAlignment="1" applyProtection="1">
      <alignment horizontal="center" vertical="center"/>
    </xf>
    <xf numFmtId="166" fontId="65" fillId="12" borderId="12" xfId="0" applyNumberFormat="1" applyFont="1" applyFill="1" applyBorder="1" applyAlignment="1" applyProtection="1">
      <alignment horizontal="center" vertical="center"/>
    </xf>
    <xf numFmtId="166" fontId="65" fillId="9" borderId="26" xfId="0" applyNumberFormat="1" applyFont="1" applyFill="1" applyBorder="1" applyAlignment="1" applyProtection="1">
      <alignment horizontal="center" vertical="center"/>
    </xf>
    <xf numFmtId="166" fontId="65" fillId="12" borderId="13" xfId="0" applyNumberFormat="1" applyFont="1" applyFill="1" applyBorder="1" applyAlignment="1" applyProtection="1">
      <alignment horizontal="center" vertical="center"/>
    </xf>
    <xf numFmtId="10" fontId="11" fillId="8" borderId="3" xfId="39" applyNumberFormat="1" applyFont="1" applyFill="1" applyBorder="1" applyAlignment="1">
      <alignment horizontal="center" vertical="center"/>
    </xf>
    <xf numFmtId="10" fontId="11" fillId="8" borderId="14" xfId="39" applyNumberFormat="1" applyFont="1" applyFill="1" applyBorder="1" applyAlignment="1">
      <alignment horizontal="center" vertical="center"/>
    </xf>
    <xf numFmtId="10" fontId="11" fillId="8" borderId="7" xfId="39" applyNumberFormat="1" applyFont="1" applyFill="1" applyBorder="1" applyAlignment="1">
      <alignment horizontal="center" vertical="center"/>
    </xf>
    <xf numFmtId="10" fontId="11" fillId="0" borderId="3" xfId="39" applyNumberFormat="1" applyFont="1" applyFill="1" applyBorder="1" applyAlignment="1">
      <alignment horizontal="center" vertical="center"/>
    </xf>
    <xf numFmtId="10" fontId="11" fillId="8" borderId="11" xfId="39" applyNumberFormat="1" applyFont="1" applyFill="1" applyBorder="1" applyAlignment="1">
      <alignment horizontal="center" vertical="center"/>
    </xf>
    <xf numFmtId="165" fontId="14" fillId="0" borderId="5" xfId="0" applyFont="1" applyFill="1" applyBorder="1" applyAlignment="1">
      <alignment vertical="center"/>
    </xf>
    <xf numFmtId="10" fontId="11" fillId="0" borderId="3" xfId="39" applyNumberFormat="1" applyFont="1" applyFill="1" applyBorder="1" applyAlignment="1">
      <alignment vertical="center"/>
    </xf>
    <xf numFmtId="165" fontId="14" fillId="0" borderId="2" xfId="0" applyFont="1" applyFill="1" applyBorder="1" applyAlignment="1">
      <alignment vertical="center"/>
    </xf>
    <xf numFmtId="165" fontId="11" fillId="0" borderId="8" xfId="0" applyFont="1" applyFill="1" applyBorder="1" applyAlignment="1"/>
    <xf numFmtId="165" fontId="11" fillId="0" borderId="15" xfId="0" applyFont="1" applyFill="1" applyBorder="1" applyAlignment="1"/>
    <xf numFmtId="0" fontId="11" fillId="0" borderId="11" xfId="31" applyFont="1" applyBorder="1" applyAlignment="1"/>
    <xf numFmtId="0" fontId="11" fillId="0" borderId="14" xfId="31" applyFont="1" applyBorder="1" applyAlignment="1"/>
    <xf numFmtId="0" fontId="11" fillId="0" borderId="7" xfId="31" applyFont="1" applyBorder="1" applyAlignment="1"/>
    <xf numFmtId="1" fontId="11" fillId="0" borderId="27" xfId="39" applyNumberFormat="1" applyFont="1" applyBorder="1" applyAlignment="1"/>
    <xf numFmtId="167" fontId="11" fillId="0" borderId="3" xfId="39" applyNumberFormat="1" applyFont="1" applyFill="1" applyBorder="1" applyAlignment="1">
      <alignment vertical="center"/>
    </xf>
    <xf numFmtId="165" fontId="11" fillId="0" borderId="0" xfId="0" applyFont="1" applyBorder="1" applyAlignment="1"/>
    <xf numFmtId="165" fontId="14" fillId="0" borderId="0" xfId="0" applyFont="1" applyBorder="1" applyAlignment="1"/>
    <xf numFmtId="10" fontId="14" fillId="0" borderId="3" xfId="39" applyNumberFormat="1" applyFont="1" applyFill="1" applyBorder="1" applyAlignment="1"/>
    <xf numFmtId="15" fontId="7" fillId="0" borderId="0" xfId="0" applyNumberFormat="1" applyFont="1" applyFill="1" applyBorder="1" applyAlignment="1" applyProtection="1">
      <alignment horizontal="center" vertical="center"/>
    </xf>
    <xf numFmtId="15" fontId="7" fillId="0" borderId="5" xfId="0" applyNumberFormat="1" applyFont="1" applyFill="1" applyBorder="1" applyAlignment="1" applyProtection="1">
      <alignment horizontal="center" vertical="center"/>
    </xf>
    <xf numFmtId="15" fontId="7" fillId="0" borderId="3" xfId="0" applyNumberFormat="1" applyFont="1" applyFill="1" applyBorder="1" applyAlignment="1" applyProtection="1">
      <alignment horizontal="center" vertical="center"/>
    </xf>
    <xf numFmtId="165" fontId="11" fillId="0" borderId="5" xfId="0" applyNumberFormat="1" applyFont="1" applyFill="1" applyBorder="1" applyAlignment="1" applyProtection="1">
      <alignment horizontal="left" vertical="center"/>
    </xf>
    <xf numFmtId="165" fontId="53" fillId="0" borderId="5" xfId="0" applyNumberFormat="1" applyFont="1" applyFill="1" applyBorder="1" applyAlignment="1" applyProtection="1">
      <alignment horizontal="left" vertical="center"/>
    </xf>
    <xf numFmtId="167" fontId="14" fillId="0" borderId="3" xfId="0" applyNumberFormat="1" applyFont="1" applyBorder="1" applyAlignment="1">
      <alignment horizontal="center" vertical="center"/>
    </xf>
    <xf numFmtId="165" fontId="11" fillId="0" borderId="15" xfId="0" applyFont="1" applyFill="1" applyBorder="1" applyAlignment="1">
      <alignment horizontal="center" vertical="center"/>
    </xf>
    <xf numFmtId="167" fontId="11" fillId="0" borderId="15" xfId="0" applyNumberFormat="1" applyFont="1" applyFill="1" applyBorder="1" applyAlignment="1">
      <alignment horizontal="center" vertical="center"/>
    </xf>
    <xf numFmtId="0" fontId="11" fillId="0" borderId="3" xfId="29" applyFont="1" applyFill="1" applyBorder="1" applyAlignment="1">
      <alignment horizontal="center" vertical="center"/>
    </xf>
    <xf numFmtId="0" fontId="11" fillId="0" borderId="11" xfId="29" applyFont="1" applyFill="1" applyBorder="1" applyAlignment="1">
      <alignment horizontal="center" vertical="center"/>
    </xf>
    <xf numFmtId="0" fontId="11" fillId="0" borderId="14" xfId="29" applyFont="1" applyFill="1" applyBorder="1" applyAlignment="1">
      <alignment horizontal="center" vertical="center"/>
    </xf>
    <xf numFmtId="0" fontId="11" fillId="6" borderId="3" xfId="29" applyFont="1" applyFill="1" applyBorder="1" applyAlignment="1">
      <alignment horizontal="center" vertical="center"/>
    </xf>
    <xf numFmtId="0" fontId="11" fillId="0" borderId="7" xfId="29" applyFont="1" applyFill="1" applyBorder="1" applyAlignment="1">
      <alignment horizontal="center" vertical="center"/>
    </xf>
    <xf numFmtId="165" fontId="11" fillId="0" borderId="3" xfId="0" applyFont="1" applyFill="1" applyBorder="1" applyAlignment="1">
      <alignment horizontal="centerContinuous" vertical="center"/>
    </xf>
    <xf numFmtId="4" fontId="14" fillId="0" borderId="11" xfId="0" applyNumberFormat="1" applyFont="1" applyFill="1" applyBorder="1" applyAlignment="1">
      <alignment horizontal="center" vertical="center"/>
    </xf>
    <xf numFmtId="165" fontId="14" fillId="0" borderId="11" xfId="0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167" fontId="11" fillId="8" borderId="3" xfId="39" applyNumberFormat="1" applyFont="1" applyFill="1" applyBorder="1" applyAlignment="1">
      <alignment horizontal="center" vertical="center"/>
    </xf>
    <xf numFmtId="167" fontId="11" fillId="8" borderId="14" xfId="39" applyNumberFormat="1" applyFont="1" applyFill="1" applyBorder="1" applyAlignment="1">
      <alignment horizontal="center" vertical="center"/>
    </xf>
    <xf numFmtId="167" fontId="11" fillId="8" borderId="7" xfId="39" applyNumberFormat="1" applyFont="1" applyFill="1" applyBorder="1" applyAlignment="1">
      <alignment horizontal="center" vertical="center"/>
    </xf>
    <xf numFmtId="167" fontId="11" fillId="8" borderId="11" xfId="39" applyNumberFormat="1" applyFont="1" applyFill="1" applyBorder="1" applyAlignment="1">
      <alignment horizontal="center" vertical="center"/>
    </xf>
    <xf numFmtId="165" fontId="11" fillId="8" borderId="3" xfId="39" applyNumberFormat="1" applyFont="1" applyFill="1" applyBorder="1" applyAlignment="1">
      <alignment horizontal="center" vertical="center"/>
    </xf>
    <xf numFmtId="167" fontId="14" fillId="0" borderId="3" xfId="39" applyNumberFormat="1" applyFont="1" applyFill="1" applyBorder="1" applyAlignment="1"/>
    <xf numFmtId="167" fontId="11" fillId="0" borderId="7" xfId="0" applyNumberFormat="1" applyFont="1" applyFill="1" applyBorder="1" applyAlignment="1">
      <alignment vertical="center"/>
    </xf>
    <xf numFmtId="165" fontId="14" fillId="0" borderId="5" xfId="0" applyFont="1" applyFill="1" applyBorder="1" applyAlignment="1">
      <alignment horizontal="left" vertical="center" indent="1"/>
    </xf>
    <xf numFmtId="167" fontId="14" fillId="0" borderId="3" xfId="39" applyNumberFormat="1" applyFont="1" applyFill="1" applyBorder="1" applyAlignment="1">
      <alignment horizontal="center" vertical="center"/>
    </xf>
    <xf numFmtId="165" fontId="14" fillId="0" borderId="10" xfId="0" applyFont="1" applyFill="1" applyBorder="1" applyAlignment="1">
      <alignment horizontal="left" vertical="center" indent="1"/>
    </xf>
    <xf numFmtId="165" fontId="14" fillId="0" borderId="3" xfId="0" applyFont="1" applyFill="1" applyBorder="1" applyAlignment="1">
      <alignment horizontal="left" vertical="center"/>
    </xf>
    <xf numFmtId="10" fontId="11" fillId="14" borderId="14" xfId="39" applyNumberFormat="1" applyFont="1" applyFill="1" applyBorder="1" applyAlignment="1">
      <alignment horizontal="center" vertical="center"/>
    </xf>
    <xf numFmtId="10" fontId="11" fillId="8" borderId="15" xfId="39" applyNumberFormat="1" applyFont="1" applyFill="1" applyBorder="1" applyAlignment="1">
      <alignment horizontal="center" vertical="center"/>
    </xf>
    <xf numFmtId="10" fontId="11" fillId="8" borderId="0" xfId="39" applyNumberFormat="1" applyFont="1" applyFill="1" applyBorder="1" applyAlignment="1">
      <alignment horizontal="center" vertical="center"/>
    </xf>
    <xf numFmtId="10" fontId="11" fillId="8" borderId="26" xfId="39" applyNumberFormat="1" applyFont="1" applyFill="1" applyBorder="1" applyAlignment="1">
      <alignment horizontal="center" vertical="center"/>
    </xf>
    <xf numFmtId="10" fontId="11" fillId="14" borderId="11" xfId="39" applyNumberFormat="1" applyFont="1" applyFill="1" applyBorder="1" applyAlignment="1">
      <alignment horizontal="center" vertical="center"/>
    </xf>
    <xf numFmtId="10" fontId="11" fillId="8" borderId="8" xfId="39" applyNumberFormat="1" applyFont="1" applyFill="1" applyBorder="1" applyAlignment="1">
      <alignment horizontal="center" vertical="center"/>
    </xf>
    <xf numFmtId="10" fontId="11" fillId="8" borderId="27" xfId="39" applyNumberFormat="1" applyFont="1" applyFill="1" applyBorder="1" applyAlignment="1">
      <alignment horizontal="center" vertical="center"/>
    </xf>
    <xf numFmtId="10" fontId="11" fillId="8" borderId="12" xfId="39" applyNumberFormat="1" applyFont="1" applyFill="1" applyBorder="1" applyAlignment="1">
      <alignment horizontal="center" vertical="center"/>
    </xf>
    <xf numFmtId="10" fontId="11" fillId="14" borderId="7" xfId="39" applyNumberFormat="1" applyFont="1" applyFill="1" applyBorder="1" applyAlignment="1">
      <alignment horizontal="center" vertical="center"/>
    </xf>
    <xf numFmtId="10" fontId="11" fillId="8" borderId="10" xfId="39" applyNumberFormat="1" applyFont="1" applyFill="1" applyBorder="1" applyAlignment="1">
      <alignment horizontal="center" vertical="center"/>
    </xf>
    <xf numFmtId="10" fontId="11" fillId="8" borderId="4" xfId="39" applyNumberFormat="1" applyFont="1" applyFill="1" applyBorder="1" applyAlignment="1">
      <alignment horizontal="center" vertical="center"/>
    </xf>
    <xf numFmtId="10" fontId="11" fillId="8" borderId="13" xfId="39" applyNumberFormat="1" applyFont="1" applyFill="1" applyBorder="1" applyAlignment="1">
      <alignment horizontal="center" vertical="center"/>
    </xf>
    <xf numFmtId="165" fontId="14" fillId="0" borderId="11" xfId="0" applyFont="1" applyFill="1" applyBorder="1" applyAlignment="1">
      <alignment vertical="center"/>
    </xf>
    <xf numFmtId="167" fontId="11" fillId="0" borderId="3" xfId="0" applyNumberFormat="1" applyFont="1" applyFill="1" applyBorder="1" applyAlignment="1">
      <alignment vertical="center"/>
    </xf>
    <xf numFmtId="167" fontId="11" fillId="14" borderId="14" xfId="39" applyNumberFormat="1" applyFont="1" applyFill="1" applyBorder="1" applyAlignment="1">
      <alignment horizontal="center" vertical="center"/>
    </xf>
    <xf numFmtId="167" fontId="11" fillId="14" borderId="7" xfId="39" applyNumberFormat="1" applyFont="1" applyFill="1" applyBorder="1" applyAlignment="1">
      <alignment horizontal="center" vertical="center"/>
    </xf>
    <xf numFmtId="169" fontId="11" fillId="8" borderId="11" xfId="0" applyNumberFormat="1" applyFont="1" applyFill="1" applyBorder="1" applyAlignment="1" applyProtection="1">
      <alignment horizontal="center" vertical="center"/>
    </xf>
    <xf numFmtId="0" fontId="11" fillId="8" borderId="9" xfId="0" applyNumberFormat="1" applyFont="1" applyFill="1" applyBorder="1" applyAlignment="1" applyProtection="1">
      <alignment horizontal="center" vertical="center"/>
    </xf>
    <xf numFmtId="167" fontId="11" fillId="8" borderId="11" xfId="0" applyNumberFormat="1" applyFont="1" applyFill="1" applyBorder="1" applyAlignment="1" applyProtection="1">
      <alignment horizontal="center" vertical="center"/>
    </xf>
    <xf numFmtId="2" fontId="11" fillId="8" borderId="12" xfId="0" applyNumberFormat="1" applyFont="1" applyFill="1" applyBorder="1" applyAlignment="1" applyProtection="1">
      <alignment horizontal="center" vertical="center"/>
    </xf>
    <xf numFmtId="2" fontId="11" fillId="8" borderId="3" xfId="0" applyNumberFormat="1" applyFont="1" applyFill="1" applyBorder="1" applyAlignment="1" applyProtection="1">
      <alignment horizontal="center" vertical="center"/>
    </xf>
    <xf numFmtId="2" fontId="11" fillId="8" borderId="3" xfId="0" applyNumberFormat="1" applyFont="1" applyFill="1" applyBorder="1" applyAlignment="1">
      <alignment horizontal="center" vertical="center"/>
    </xf>
    <xf numFmtId="0" fontId="11" fillId="8" borderId="11" xfId="0" applyNumberFormat="1" applyFont="1" applyFill="1" applyBorder="1" applyAlignment="1" applyProtection="1">
      <alignment horizontal="center" vertical="center"/>
    </xf>
    <xf numFmtId="168" fontId="11" fillId="8" borderId="3" xfId="39" applyNumberFormat="1" applyFont="1" applyFill="1" applyBorder="1" applyAlignment="1">
      <alignment horizontal="center" vertical="center"/>
    </xf>
    <xf numFmtId="165" fontId="11" fillId="8" borderId="11" xfId="0" applyFont="1" applyFill="1" applyBorder="1" applyAlignment="1">
      <alignment horizontal="center" vertical="center"/>
    </xf>
    <xf numFmtId="168" fontId="11" fillId="8" borderId="11" xfId="0" applyNumberFormat="1" applyFont="1" applyFill="1" applyBorder="1" applyAlignment="1" applyProtection="1">
      <alignment horizontal="center" vertical="center"/>
    </xf>
    <xf numFmtId="164" fontId="11" fillId="8" borderId="11" xfId="31" applyNumberFormat="1" applyFont="1" applyFill="1" applyBorder="1" applyAlignment="1">
      <alignment horizontal="center"/>
    </xf>
    <xf numFmtId="164" fontId="11" fillId="8" borderId="14" xfId="31" applyNumberFormat="1" applyFont="1" applyFill="1" applyBorder="1" applyAlignment="1">
      <alignment horizontal="center"/>
    </xf>
    <xf numFmtId="164" fontId="11" fillId="8" borderId="7" xfId="31" applyNumberFormat="1" applyFont="1" applyFill="1" applyBorder="1" applyAlignment="1">
      <alignment horizontal="center"/>
    </xf>
    <xf numFmtId="165" fontId="11" fillId="8" borderId="11" xfId="0" applyFont="1" applyFill="1" applyBorder="1" applyAlignment="1">
      <alignment horizontal="center"/>
    </xf>
    <xf numFmtId="165" fontId="11" fillId="8" borderId="8" xfId="0" applyFont="1" applyFill="1" applyBorder="1" applyAlignment="1">
      <alignment horizontal="center"/>
    </xf>
    <xf numFmtId="2" fontId="11" fillId="8" borderId="15" xfId="0" applyNumberFormat="1" applyFont="1" applyFill="1" applyBorder="1" applyAlignment="1">
      <alignment horizontal="center"/>
    </xf>
    <xf numFmtId="2" fontId="11" fillId="8" borderId="14" xfId="0" applyNumberFormat="1" applyFont="1" applyFill="1" applyBorder="1" applyAlignment="1">
      <alignment horizontal="center"/>
    </xf>
    <xf numFmtId="165" fontId="14" fillId="0" borderId="3" xfId="0" applyFont="1" applyFill="1" applyBorder="1" applyAlignment="1">
      <alignment horizontal="center"/>
    </xf>
    <xf numFmtId="167" fontId="14" fillId="0" borderId="5" xfId="0" applyNumberFormat="1" applyFont="1" applyFill="1" applyBorder="1" applyAlignment="1">
      <alignment horizontal="center"/>
    </xf>
    <xf numFmtId="167" fontId="14" fillId="0" borderId="3" xfId="0" applyNumberFormat="1" applyFont="1" applyFill="1" applyBorder="1" applyAlignment="1">
      <alignment horizontal="center"/>
    </xf>
    <xf numFmtId="165" fontId="14" fillId="0" borderId="5" xfId="0" applyNumberFormat="1" applyFont="1" applyFill="1" applyBorder="1" applyAlignment="1" applyProtection="1">
      <alignment horizontal="left" vertical="center"/>
    </xf>
    <xf numFmtId="165" fontId="11" fillId="0" borderId="5" xfId="0" applyFont="1" applyFill="1" applyBorder="1" applyAlignment="1">
      <alignment horizontal="left" vertical="center" indent="1"/>
    </xf>
    <xf numFmtId="166" fontId="65" fillId="13" borderId="11" xfId="0" applyNumberFormat="1" applyFont="1" applyFill="1" applyBorder="1" applyAlignment="1" applyProtection="1">
      <alignment vertical="center"/>
    </xf>
    <xf numFmtId="166" fontId="65" fillId="11" borderId="14" xfId="0" applyNumberFormat="1" applyFont="1" applyFill="1" applyBorder="1" applyAlignment="1" applyProtection="1">
      <alignment vertical="center"/>
    </xf>
    <xf numFmtId="166" fontId="65" fillId="12" borderId="14" xfId="0" applyNumberFormat="1" applyFont="1" applyFill="1" applyBorder="1" applyAlignment="1" applyProtection="1">
      <alignment vertical="center"/>
    </xf>
    <xf numFmtId="166" fontId="65" fillId="9" borderId="14" xfId="0" applyNumberFormat="1" applyFont="1" applyFill="1" applyBorder="1" applyAlignment="1" applyProtection="1">
      <alignment vertical="center"/>
    </xf>
    <xf numFmtId="165" fontId="14" fillId="0" borderId="7" xfId="0" quotePrefix="1" applyNumberFormat="1" applyFont="1" applyFill="1" applyBorder="1" applyAlignment="1" applyProtection="1">
      <alignment vertical="center"/>
    </xf>
    <xf numFmtId="166" fontId="65" fillId="13" borderId="14" xfId="0" applyNumberFormat="1" applyFont="1" applyFill="1" applyBorder="1" applyAlignment="1" applyProtection="1">
      <alignment vertical="center"/>
    </xf>
    <xf numFmtId="166" fontId="65" fillId="9" borderId="7" xfId="0" applyNumberFormat="1" applyFont="1" applyFill="1" applyBorder="1" applyAlignment="1" applyProtection="1">
      <alignment vertical="center"/>
    </xf>
    <xf numFmtId="0" fontId="11" fillId="15" borderId="3" xfId="0" applyNumberFormat="1" applyFont="1" applyFill="1" applyBorder="1" applyAlignment="1" applyProtection="1">
      <alignment horizontal="center" vertical="center"/>
      <protection locked="0"/>
    </xf>
    <xf numFmtId="165" fontId="14" fillId="0" borderId="5" xfId="0" applyFont="1" applyFill="1" applyBorder="1" applyAlignment="1">
      <alignment horizontal="left" vertical="center"/>
    </xf>
    <xf numFmtId="165" fontId="14" fillId="0" borderId="6" xfId="0" applyFont="1" applyFill="1" applyBorder="1" applyAlignment="1">
      <alignment horizontal="center" vertical="center"/>
    </xf>
    <xf numFmtId="165" fontId="14" fillId="0" borderId="5" xfId="0" applyFont="1" applyFill="1" applyBorder="1" applyAlignment="1">
      <alignment horizontal="left"/>
    </xf>
    <xf numFmtId="165" fontId="11" fillId="0" borderId="0" xfId="0" applyFont="1" applyFill="1" applyAlignment="1">
      <alignment horizontal="right" vertical="center"/>
    </xf>
    <xf numFmtId="10" fontId="14" fillId="0" borderId="3" xfId="39" applyNumberFormat="1" applyFont="1" applyFill="1" applyBorder="1" applyAlignment="1">
      <alignment horizontal="center" vertical="center"/>
    </xf>
    <xf numFmtId="10" fontId="4" fillId="9" borderId="0" xfId="0" applyNumberFormat="1" applyFont="1" applyFill="1" applyAlignment="1">
      <alignment vertical="center"/>
    </xf>
    <xf numFmtId="9" fontId="1" fillId="0" borderId="3" xfId="39" applyFont="1" applyFill="1" applyBorder="1" applyAlignment="1" applyProtection="1">
      <alignment horizontal="center" vertical="center"/>
      <protection locked="0"/>
    </xf>
    <xf numFmtId="0" fontId="3" fillId="0" borderId="11" xfId="30" applyFont="1" applyFill="1" applyBorder="1" applyAlignment="1">
      <alignment vertical="center" wrapText="1"/>
    </xf>
    <xf numFmtId="14" fontId="3" fillId="0" borderId="5" xfId="30" applyNumberFormat="1" applyFont="1" applyFill="1" applyBorder="1" applyAlignment="1" applyProtection="1">
      <alignment horizontal="centerContinuous" vertical="center" wrapText="1"/>
    </xf>
    <xf numFmtId="14" fontId="3" fillId="0" borderId="6" xfId="30" applyNumberFormat="1" applyFont="1" applyFill="1" applyBorder="1" applyAlignment="1" applyProtection="1">
      <alignment horizontal="centerContinuous" vertical="center" wrapText="1"/>
    </xf>
    <xf numFmtId="0" fontId="3" fillId="0" borderId="5" xfId="30" applyFont="1" applyFill="1" applyBorder="1" applyAlignment="1">
      <alignment horizontal="centerContinuous" vertical="center" wrapText="1"/>
    </xf>
    <xf numFmtId="0" fontId="3" fillId="0" borderId="6" xfId="30" applyFont="1" applyFill="1" applyBorder="1" applyAlignment="1">
      <alignment horizontal="centerContinuous" vertical="center" wrapText="1"/>
    </xf>
    <xf numFmtId="0" fontId="3" fillId="0" borderId="8" xfId="30" applyFont="1" applyFill="1" applyBorder="1" applyAlignment="1">
      <alignment horizontal="centerContinuous" vertical="center" wrapText="1"/>
    </xf>
    <xf numFmtId="0" fontId="3" fillId="0" borderId="12" xfId="30" applyFont="1" applyFill="1" applyBorder="1" applyAlignment="1">
      <alignment horizontal="centerContinuous" vertical="center" wrapText="1"/>
    </xf>
    <xf numFmtId="9" fontId="1" fillId="16" borderId="3" xfId="39" applyFont="1" applyFill="1" applyBorder="1" applyAlignment="1" applyProtection="1">
      <alignment horizontal="center" vertical="center"/>
    </xf>
    <xf numFmtId="167" fontId="4" fillId="0" borderId="40" xfId="0" applyNumberFormat="1" applyFont="1" applyFill="1" applyBorder="1" applyAlignment="1">
      <alignment horizontal="center" wrapText="1"/>
    </xf>
    <xf numFmtId="167" fontId="66" fillId="0" borderId="0" xfId="17" applyNumberFormat="1" applyFont="1" applyBorder="1" applyAlignment="1" applyProtection="1">
      <alignment horizontal="left"/>
    </xf>
    <xf numFmtId="0" fontId="64" fillId="0" borderId="0" xfId="17" applyFont="1" applyAlignment="1" applyProtection="1"/>
    <xf numFmtId="0" fontId="1" fillId="0" borderId="3" xfId="32" applyFont="1" applyBorder="1"/>
    <xf numFmtId="0" fontId="3" fillId="0" borderId="0" xfId="32" applyFont="1" applyBorder="1" applyAlignment="1"/>
    <xf numFmtId="0" fontId="1" fillId="0" borderId="0" xfId="32" quotePrefix="1" applyFont="1" applyBorder="1" applyAlignment="1"/>
    <xf numFmtId="0" fontId="1" fillId="0" borderId="0" xfId="32" quotePrefix="1" applyNumberFormat="1" applyFont="1" applyBorder="1" applyAlignment="1"/>
    <xf numFmtId="0" fontId="1" fillId="0" borderId="0" xfId="32" quotePrefix="1" applyFont="1" applyAlignment="1"/>
    <xf numFmtId="0" fontId="7" fillId="0" borderId="0" xfId="0" applyNumberFormat="1" applyFont="1" applyAlignment="1">
      <alignment horizontal="centerContinuous"/>
    </xf>
    <xf numFmtId="0" fontId="2" fillId="0" borderId="0" xfId="0" applyNumberFormat="1" applyFont="1" applyAlignment="1">
      <alignment horizontal="centerContinuous"/>
    </xf>
    <xf numFmtId="0" fontId="4" fillId="0" borderId="0" xfId="32" applyFont="1" applyAlignment="1">
      <alignment horizontal="centerContinuous"/>
    </xf>
    <xf numFmtId="0" fontId="1" fillId="0" borderId="0" xfId="32" applyFont="1" applyAlignment="1">
      <alignment horizontal="centerContinuous"/>
    </xf>
    <xf numFmtId="0" fontId="1" fillId="0" borderId="0" xfId="0" applyNumberFormat="1" applyFont="1" applyAlignment="1">
      <alignment horizontal="centerContinuous"/>
    </xf>
    <xf numFmtId="0" fontId="1" fillId="0" borderId="0" xfId="32" applyFont="1" applyBorder="1"/>
    <xf numFmtId="0" fontId="1" fillId="0" borderId="27" xfId="32" applyFont="1" applyBorder="1"/>
    <xf numFmtId="0" fontId="1" fillId="0" borderId="12" xfId="32" applyFont="1" applyBorder="1"/>
    <xf numFmtId="0" fontId="1" fillId="0" borderId="8" xfId="32" applyFont="1" applyBorder="1"/>
    <xf numFmtId="0" fontId="1" fillId="0" borderId="26" xfId="32" applyFont="1" applyBorder="1"/>
    <xf numFmtId="0" fontId="1" fillId="0" borderId="15" xfId="32" applyFont="1" applyBorder="1"/>
    <xf numFmtId="0" fontId="1" fillId="0" borderId="10" xfId="32" applyFont="1" applyBorder="1"/>
    <xf numFmtId="0" fontId="1" fillId="0" borderId="4" xfId="32" applyFont="1" applyBorder="1"/>
    <xf numFmtId="165" fontId="3" fillId="0" borderId="0" xfId="0" applyFont="1" applyAlignment="1">
      <alignment vertical="center"/>
    </xf>
    <xf numFmtId="165" fontId="11" fillId="0" borderId="8" xfId="0" applyFont="1" applyBorder="1"/>
    <xf numFmtId="165" fontId="11" fillId="0" borderId="15" xfId="0" applyFont="1" applyBorder="1"/>
    <xf numFmtId="165" fontId="67" fillId="0" borderId="15" xfId="0" applyFont="1" applyBorder="1" applyAlignment="1">
      <alignment vertical="center"/>
    </xf>
    <xf numFmtId="0" fontId="1" fillId="8" borderId="3" xfId="32" applyFont="1" applyFill="1" applyBorder="1"/>
    <xf numFmtId="9" fontId="1" fillId="0" borderId="3" xfId="32" quotePrefix="1" applyNumberFormat="1" applyFont="1" applyFill="1" applyBorder="1" applyAlignment="1">
      <alignment horizontal="center"/>
    </xf>
    <xf numFmtId="164" fontId="1" fillId="0" borderId="3" xfId="32" quotePrefix="1" applyNumberFormat="1" applyFont="1" applyFill="1" applyBorder="1" applyAlignment="1">
      <alignment horizontal="center"/>
    </xf>
    <xf numFmtId="164" fontId="1" fillId="0" borderId="3" xfId="32" quotePrefix="1" applyNumberFormat="1" applyFont="1" applyBorder="1" applyAlignment="1">
      <alignment horizontal="center"/>
    </xf>
    <xf numFmtId="9" fontId="1" fillId="0" borderId="3" xfId="32" quotePrefix="1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right" wrapText="1"/>
    </xf>
    <xf numFmtId="0" fontId="1" fillId="0" borderId="13" xfId="32" applyFont="1" applyBorder="1"/>
    <xf numFmtId="17" fontId="1" fillId="0" borderId="0" xfId="32" applyNumberFormat="1" applyFont="1" applyBorder="1"/>
    <xf numFmtId="10" fontId="1" fillId="0" borderId="3" xfId="39" applyNumberFormat="1" applyFont="1" applyBorder="1" applyAlignment="1"/>
    <xf numFmtId="10" fontId="1" fillId="0" borderId="3" xfId="32" applyNumberFormat="1" applyFont="1" applyBorder="1" applyAlignment="1"/>
    <xf numFmtId="10" fontId="1" fillId="0" borderId="3" xfId="32" applyNumberFormat="1" applyFont="1" applyBorder="1" applyAlignment="1">
      <alignment horizontal="center"/>
    </xf>
    <xf numFmtId="0" fontId="1" fillId="0" borderId="3" xfId="31" applyFont="1" applyBorder="1"/>
    <xf numFmtId="0" fontId="1" fillId="0" borderId="0" xfId="32" applyFont="1" applyAlignment="1"/>
    <xf numFmtId="165" fontId="4" fillId="0" borderId="15" xfId="0" applyFont="1" applyBorder="1" applyAlignment="1">
      <alignment vertical="center"/>
    </xf>
    <xf numFmtId="165" fontId="11" fillId="0" borderId="10" xfId="0" applyFont="1" applyBorder="1"/>
    <xf numFmtId="165" fontId="4" fillId="0" borderId="0" xfId="0" applyFont="1" applyAlignment="1">
      <alignment vertical="center"/>
    </xf>
    <xf numFmtId="0" fontId="3" fillId="0" borderId="3" xfId="32" applyFont="1" applyBorder="1"/>
    <xf numFmtId="0" fontId="3" fillId="0" borderId="3" xfId="32" applyFont="1" applyBorder="1" applyAlignment="1">
      <alignment horizontal="center"/>
    </xf>
    <xf numFmtId="168" fontId="11" fillId="0" borderId="0" xfId="30" applyNumberFormat="1" applyFont="1"/>
    <xf numFmtId="165" fontId="1" fillId="0" borderId="0" xfId="32" applyNumberFormat="1" applyFont="1"/>
    <xf numFmtId="2" fontId="1" fillId="8" borderId="3" xfId="30" applyNumberFormat="1" applyFont="1" applyFill="1" applyBorder="1" applyAlignment="1" applyProtection="1">
      <alignment horizontal="center" vertical="center"/>
      <protection locked="0"/>
    </xf>
    <xf numFmtId="2" fontId="1" fillId="0" borderId="0" xfId="32" applyNumberFormat="1" applyFont="1"/>
    <xf numFmtId="2" fontId="1" fillId="0" borderId="3" xfId="30" applyNumberFormat="1" applyFont="1" applyFill="1" applyBorder="1" applyAlignment="1" applyProtection="1">
      <alignment horizontal="center" vertical="center"/>
      <protection locked="0"/>
    </xf>
    <xf numFmtId="2" fontId="1" fillId="16" borderId="3" xfId="30" applyNumberFormat="1" applyFont="1" applyFill="1" applyBorder="1" applyAlignment="1" applyProtection="1">
      <alignment horizontal="center" vertical="center"/>
    </xf>
    <xf numFmtId="2" fontId="1" fillId="6" borderId="3" xfId="30" applyNumberFormat="1" applyFont="1" applyFill="1" applyBorder="1" applyAlignment="1" applyProtection="1">
      <alignment horizontal="center" vertical="center"/>
      <protection locked="0"/>
    </xf>
    <xf numFmtId="166" fontId="68" fillId="6" borderId="15" xfId="0" applyNumberFormat="1" applyFont="1" applyFill="1" applyBorder="1" applyAlignment="1" applyProtection="1">
      <alignment vertical="center"/>
      <protection locked="0"/>
    </xf>
    <xf numFmtId="166" fontId="68" fillId="6" borderId="14" xfId="0" applyNumberFormat="1" applyFont="1" applyFill="1" applyBorder="1" applyAlignment="1" applyProtection="1">
      <alignment vertical="center"/>
      <protection locked="0"/>
    </xf>
    <xf numFmtId="166" fontId="68" fillId="0" borderId="14" xfId="0" applyNumberFormat="1" applyFont="1" applyFill="1" applyBorder="1" applyAlignment="1" applyProtection="1">
      <alignment vertical="center"/>
    </xf>
    <xf numFmtId="167" fontId="68" fillId="0" borderId="14" xfId="0" applyNumberFormat="1" applyFont="1" applyFill="1" applyBorder="1" applyAlignment="1" applyProtection="1">
      <alignment vertical="center"/>
    </xf>
    <xf numFmtId="166" fontId="68" fillId="6" borderId="15" xfId="0" applyNumberFormat="1" applyFont="1" applyFill="1" applyBorder="1" applyAlignment="1" applyProtection="1">
      <alignment vertical="center"/>
    </xf>
    <xf numFmtId="166" fontId="68" fillId="6" borderId="14" xfId="0" applyNumberFormat="1" applyFont="1" applyFill="1" applyBorder="1" applyAlignment="1" applyProtection="1">
      <alignment vertical="center"/>
    </xf>
    <xf numFmtId="166" fontId="68" fillId="6" borderId="8" xfId="0" applyNumberFormat="1" applyFont="1" applyFill="1" applyBorder="1" applyAlignment="1" applyProtection="1">
      <alignment vertical="center"/>
    </xf>
    <xf numFmtId="166" fontId="68" fillId="6" borderId="11" xfId="0" applyNumberFormat="1" applyFont="1" applyFill="1" applyBorder="1" applyAlignment="1" applyProtection="1">
      <alignment vertical="center"/>
    </xf>
    <xf numFmtId="167" fontId="68" fillId="0" borderId="11" xfId="0" applyNumberFormat="1" applyFont="1" applyFill="1" applyBorder="1" applyAlignment="1" applyProtection="1">
      <alignment vertical="center"/>
    </xf>
    <xf numFmtId="166" fontId="68" fillId="6" borderId="10" xfId="0" applyNumberFormat="1" applyFont="1" applyFill="1" applyBorder="1" applyAlignment="1" applyProtection="1">
      <alignment vertical="center"/>
    </xf>
    <xf numFmtId="166" fontId="68" fillId="6" borderId="7" xfId="0" applyNumberFormat="1" applyFont="1" applyFill="1" applyBorder="1" applyAlignment="1" applyProtection="1">
      <alignment vertical="center"/>
    </xf>
    <xf numFmtId="167" fontId="68" fillId="0" borderId="7" xfId="0" applyNumberFormat="1" applyFont="1" applyFill="1" applyBorder="1" applyAlignment="1" applyProtection="1">
      <alignment vertical="center"/>
    </xf>
    <xf numFmtId="165" fontId="68" fillId="0" borderId="15" xfId="0" applyFont="1" applyFill="1" applyBorder="1" applyAlignment="1">
      <alignment vertical="center"/>
    </xf>
    <xf numFmtId="165" fontId="68" fillId="0" borderId="14" xfId="0" applyFont="1" applyFill="1" applyBorder="1" applyAlignment="1">
      <alignment vertical="center"/>
    </xf>
    <xf numFmtId="167" fontId="68" fillId="0" borderId="14" xfId="0" applyNumberFormat="1" applyFont="1" applyFill="1" applyBorder="1" applyAlignment="1">
      <alignment vertical="center"/>
    </xf>
    <xf numFmtId="166" fontId="68" fillId="0" borderId="15" xfId="0" applyNumberFormat="1" applyFont="1" applyFill="1" applyBorder="1" applyAlignment="1" applyProtection="1">
      <alignment vertical="center"/>
      <protection locked="0"/>
    </xf>
    <xf numFmtId="166" fontId="68" fillId="0" borderId="14" xfId="0" applyNumberFormat="1" applyFont="1" applyFill="1" applyBorder="1" applyAlignment="1" applyProtection="1">
      <alignment vertical="center"/>
      <protection locked="0"/>
    </xf>
    <xf numFmtId="167" fontId="68" fillId="0" borderId="14" xfId="0" applyNumberFormat="1" applyFont="1" applyFill="1" applyBorder="1" applyAlignment="1" applyProtection="1">
      <alignment vertical="center"/>
      <protection locked="0"/>
    </xf>
    <xf numFmtId="166" fontId="68" fillId="0" borderId="10" xfId="0" applyNumberFormat="1" applyFont="1" applyFill="1" applyBorder="1" applyAlignment="1" applyProtection="1">
      <alignment vertical="center"/>
      <protection locked="0"/>
    </xf>
    <xf numFmtId="166" fontId="68" fillId="0" borderId="7" xfId="0" applyNumberFormat="1" applyFont="1" applyFill="1" applyBorder="1" applyAlignment="1" applyProtection="1">
      <alignment vertical="center"/>
      <protection locked="0"/>
    </xf>
    <xf numFmtId="167" fontId="68" fillId="0" borderId="15" xfId="0" applyNumberFormat="1" applyFont="1" applyFill="1" applyBorder="1" applyAlignment="1" applyProtection="1">
      <alignment vertical="center"/>
      <protection locked="0"/>
    </xf>
    <xf numFmtId="167" fontId="68" fillId="0" borderId="10" xfId="0" applyNumberFormat="1" applyFont="1" applyFill="1" applyBorder="1" applyAlignment="1" applyProtection="1">
      <alignment vertical="center"/>
      <protection locked="0"/>
    </xf>
    <xf numFmtId="167" fontId="68" fillId="0" borderId="7" xfId="0" applyNumberFormat="1" applyFont="1" applyFill="1" applyBorder="1" applyAlignment="1" applyProtection="1">
      <alignment vertical="center"/>
      <protection locked="0"/>
    </xf>
    <xf numFmtId="165" fontId="69" fillId="0" borderId="0" xfId="0" applyFont="1" applyFill="1" applyAlignment="1">
      <alignment vertical="center"/>
    </xf>
    <xf numFmtId="165" fontId="68" fillId="0" borderId="0" xfId="0" applyFont="1" applyFill="1" applyBorder="1" applyAlignment="1">
      <alignment horizontal="centerContinuous" vertical="center"/>
    </xf>
    <xf numFmtId="174" fontId="68" fillId="0" borderId="0" xfId="0" applyNumberFormat="1" applyFont="1" applyFill="1" applyBorder="1" applyAlignment="1">
      <alignment horizontal="centerContinuous" vertical="center"/>
    </xf>
    <xf numFmtId="165" fontId="5" fillId="0" borderId="0" xfId="0" applyFont="1" applyFill="1" applyBorder="1" applyAlignment="1">
      <alignment vertical="center"/>
    </xf>
    <xf numFmtId="165" fontId="70" fillId="0" borderId="0" xfId="0" applyNumberFormat="1" applyFont="1" applyFill="1" applyBorder="1" applyAlignment="1" applyProtection="1">
      <alignment vertical="center"/>
    </xf>
    <xf numFmtId="165" fontId="68" fillId="0" borderId="0" xfId="0" applyFont="1" applyFill="1" applyBorder="1" applyAlignment="1">
      <alignment vertical="center"/>
    </xf>
    <xf numFmtId="165" fontId="68" fillId="0" borderId="0" xfId="0" applyFont="1" applyFill="1" applyAlignment="1">
      <alignment vertical="center"/>
    </xf>
    <xf numFmtId="165" fontId="68" fillId="0" borderId="8" xfId="0" applyNumberFormat="1" applyFont="1" applyFill="1" applyBorder="1" applyAlignment="1" applyProtection="1">
      <alignment vertical="center"/>
    </xf>
    <xf numFmtId="165" fontId="68" fillId="0" borderId="11" xfId="0" applyNumberFormat="1" applyFont="1" applyFill="1" applyBorder="1" applyAlignment="1" applyProtection="1">
      <alignment vertical="center"/>
    </xf>
    <xf numFmtId="165" fontId="68" fillId="6" borderId="15" xfId="0" applyNumberFormat="1" applyFont="1" applyFill="1" applyBorder="1" applyAlignment="1" applyProtection="1">
      <alignment vertical="center"/>
    </xf>
    <xf numFmtId="165" fontId="68" fillId="6" borderId="14" xfId="0" applyNumberFormat="1" applyFont="1" applyFill="1" applyBorder="1" applyAlignment="1" applyProtection="1">
      <alignment vertical="center"/>
    </xf>
    <xf numFmtId="167" fontId="68" fillId="0" borderId="15" xfId="0" applyNumberFormat="1" applyFont="1" applyFill="1" applyBorder="1" applyAlignment="1">
      <alignment vertical="center"/>
    </xf>
    <xf numFmtId="174" fontId="68" fillId="0" borderId="0" xfId="0" applyNumberFormat="1" applyFont="1" applyFill="1" applyAlignment="1">
      <alignment vertical="center"/>
    </xf>
    <xf numFmtId="165" fontId="68" fillId="0" borderId="27" xfId="0" applyFont="1" applyFill="1" applyBorder="1" applyAlignment="1">
      <alignment vertical="center"/>
    </xf>
    <xf numFmtId="174" fontId="68" fillId="0" borderId="0" xfId="0" applyNumberFormat="1" applyFont="1" applyFill="1" applyBorder="1" applyAlignment="1">
      <alignment vertical="center"/>
    </xf>
    <xf numFmtId="165" fontId="70" fillId="0" borderId="0" xfId="0" applyNumberFormat="1" applyFont="1" applyFill="1" applyBorder="1" applyAlignment="1" applyProtection="1">
      <alignment horizontal="left" vertical="center"/>
    </xf>
    <xf numFmtId="165" fontId="71" fillId="0" borderId="5" xfId="0" applyFont="1" applyFill="1" applyBorder="1" applyAlignment="1">
      <alignment horizontal="center" vertical="center"/>
    </xf>
    <xf numFmtId="191" fontId="71" fillId="0" borderId="5" xfId="0" applyNumberFormat="1" applyFont="1" applyFill="1" applyBorder="1" applyAlignment="1" applyProtection="1">
      <alignment vertical="center" wrapText="1"/>
    </xf>
    <xf numFmtId="191" fontId="71" fillId="0" borderId="3" xfId="0" applyNumberFormat="1" applyFont="1" applyFill="1" applyBorder="1" applyAlignment="1" applyProtection="1">
      <alignment vertical="center" wrapText="1"/>
    </xf>
    <xf numFmtId="165" fontId="72" fillId="0" borderId="8" xfId="0" quotePrefix="1" applyNumberFormat="1" applyFont="1" applyFill="1" applyBorder="1" applyAlignment="1" applyProtection="1">
      <alignment horizontal="left" vertical="center"/>
    </xf>
    <xf numFmtId="165" fontId="72" fillId="0" borderId="15" xfId="0" quotePrefix="1" applyNumberFormat="1" applyFont="1" applyFill="1" applyBorder="1" applyAlignment="1" applyProtection="1">
      <alignment horizontal="left" vertical="center"/>
    </xf>
    <xf numFmtId="165" fontId="73" fillId="0" borderId="15" xfId="0" quotePrefix="1" applyNumberFormat="1" applyFont="1" applyFill="1" applyBorder="1" applyAlignment="1" applyProtection="1">
      <alignment horizontal="left" vertical="center" indent="1"/>
    </xf>
    <xf numFmtId="165" fontId="74" fillId="0" borderId="15" xfId="0" quotePrefix="1" applyNumberFormat="1" applyFont="1" applyFill="1" applyBorder="1" applyAlignment="1" applyProtection="1">
      <alignment horizontal="left" vertical="center" indent="1"/>
    </xf>
    <xf numFmtId="165" fontId="73" fillId="0" borderId="15" xfId="0" applyNumberFormat="1" applyFont="1" applyFill="1" applyBorder="1" applyAlignment="1" applyProtection="1">
      <alignment horizontal="left" vertical="center" indent="1"/>
    </xf>
    <xf numFmtId="165" fontId="72" fillId="0" borderId="15" xfId="0" applyNumberFormat="1" applyFont="1" applyFill="1" applyBorder="1" applyAlignment="1" applyProtection="1">
      <alignment vertical="center"/>
    </xf>
    <xf numFmtId="165" fontId="72" fillId="0" borderId="15" xfId="0" quotePrefix="1" applyNumberFormat="1" applyFont="1" applyFill="1" applyBorder="1" applyAlignment="1" applyProtection="1">
      <alignment vertical="center"/>
    </xf>
    <xf numFmtId="165" fontId="74" fillId="0" borderId="15" xfId="0" applyNumberFormat="1" applyFont="1" applyFill="1" applyBorder="1" applyAlignment="1" applyProtection="1">
      <alignment horizontal="left" vertical="center" indent="1"/>
    </xf>
    <xf numFmtId="165" fontId="73" fillId="0" borderId="10" xfId="0" applyNumberFormat="1" applyFont="1" applyFill="1" applyBorder="1" applyAlignment="1" applyProtection="1">
      <alignment horizontal="left" vertical="center"/>
    </xf>
    <xf numFmtId="165" fontId="73" fillId="0" borderId="15" xfId="0" applyNumberFormat="1" applyFont="1" applyFill="1" applyBorder="1" applyAlignment="1" applyProtection="1">
      <alignment horizontal="left" vertical="center"/>
    </xf>
    <xf numFmtId="165" fontId="72" fillId="0" borderId="10" xfId="0" quotePrefix="1" applyNumberFormat="1" applyFont="1" applyFill="1" applyBorder="1" applyAlignment="1" applyProtection="1">
      <alignment horizontal="left" vertical="center"/>
    </xf>
    <xf numFmtId="165" fontId="72" fillId="0" borderId="15" xfId="0" applyFont="1" applyFill="1" applyBorder="1" applyAlignment="1">
      <alignment vertical="center"/>
    </xf>
    <xf numFmtId="165" fontId="74" fillId="0" borderId="15" xfId="0" applyFont="1" applyFill="1" applyBorder="1" applyAlignment="1">
      <alignment horizontal="left" vertical="center" indent="1"/>
    </xf>
    <xf numFmtId="165" fontId="73" fillId="0" borderId="15" xfId="0" applyFont="1" applyFill="1" applyBorder="1" applyAlignment="1">
      <alignment horizontal="left" vertical="center" indent="1"/>
    </xf>
    <xf numFmtId="165" fontId="73" fillId="0" borderId="10" xfId="0" applyFont="1" applyFill="1" applyBorder="1" applyAlignment="1">
      <alignment horizontal="left" vertical="center" indent="1"/>
    </xf>
    <xf numFmtId="165" fontId="73" fillId="0" borderId="0" xfId="0" applyFont="1" applyFill="1" applyAlignment="1">
      <alignment vertical="center"/>
    </xf>
    <xf numFmtId="0" fontId="11" fillId="0" borderId="6" xfId="30" applyNumberFormat="1" applyFont="1" applyFill="1" applyBorder="1" applyAlignment="1" applyProtection="1">
      <alignment horizontal="center" vertical="center"/>
    </xf>
    <xf numFmtId="0" fontId="11" fillId="0" borderId="3" xfId="30" applyNumberFormat="1" applyFont="1" applyFill="1" applyBorder="1" applyAlignment="1" applyProtection="1">
      <alignment horizontal="center" vertical="center"/>
    </xf>
    <xf numFmtId="0" fontId="11" fillId="0" borderId="3" xfId="30" applyNumberFormat="1" applyFont="1" applyFill="1" applyBorder="1" applyAlignment="1" applyProtection="1">
      <alignment horizontal="centerContinuous" vertical="center"/>
    </xf>
    <xf numFmtId="4" fontId="11" fillId="0" borderId="37" xfId="1" applyNumberFormat="1" applyFont="1" applyFill="1" applyBorder="1" applyAlignment="1">
      <alignment horizontal="left" vertical="center"/>
    </xf>
    <xf numFmtId="165" fontId="4" fillId="0" borderId="3" xfId="0" applyFont="1" applyBorder="1" applyAlignment="1">
      <alignment horizontal="left" vertical="top" wrapText="1"/>
    </xf>
    <xf numFmtId="2" fontId="37" fillId="8" borderId="11" xfId="0" applyNumberFormat="1" applyFont="1" applyFill="1" applyBorder="1" applyAlignment="1">
      <alignment horizontal="center" wrapText="1"/>
    </xf>
    <xf numFmtId="2" fontId="4" fillId="8" borderId="14" xfId="0" applyNumberFormat="1" applyFont="1" applyFill="1" applyBorder="1" applyAlignment="1">
      <alignment horizontal="center" wrapText="1"/>
    </xf>
    <xf numFmtId="167" fontId="4" fillId="0" borderId="14" xfId="0" applyNumberFormat="1" applyFont="1" applyBorder="1" applyAlignment="1">
      <alignment horizontal="center" wrapText="1"/>
    </xf>
    <xf numFmtId="2" fontId="4" fillId="8" borderId="7" xfId="0" applyNumberFormat="1" applyFont="1" applyFill="1" applyBorder="1" applyAlignment="1">
      <alignment horizontal="center" wrapText="1"/>
    </xf>
    <xf numFmtId="167" fontId="4" fillId="0" borderId="14" xfId="0" applyNumberFormat="1" applyFont="1" applyFill="1" applyBorder="1" applyAlignment="1">
      <alignment horizontal="center" wrapText="1"/>
    </xf>
    <xf numFmtId="165" fontId="4" fillId="0" borderId="14" xfId="0" applyFont="1" applyBorder="1" applyAlignment="1">
      <alignment horizontal="left" vertical="top" wrapText="1"/>
    </xf>
    <xf numFmtId="165" fontId="21" fillId="0" borderId="0" xfId="0" applyFont="1" applyBorder="1"/>
    <xf numFmtId="4" fontId="63" fillId="0" borderId="26" xfId="1" applyNumberFormat="1" applyFont="1" applyFill="1" applyBorder="1" applyAlignment="1">
      <alignment horizontal="center" vertical="center"/>
    </xf>
    <xf numFmtId="165" fontId="14" fillId="0" borderId="8" xfId="1" applyNumberFormat="1" applyFont="1" applyBorder="1" applyAlignment="1">
      <alignment horizontal="centerContinuous" vertical="center"/>
    </xf>
    <xf numFmtId="165" fontId="0" fillId="0" borderId="9" xfId="0" applyBorder="1" applyAlignment="1">
      <alignment horizontal="centerContinuous"/>
    </xf>
    <xf numFmtId="165" fontId="14" fillId="0" borderId="15" xfId="1" applyNumberFormat="1" applyFont="1" applyBorder="1" applyAlignment="1">
      <alignment horizontal="centerContinuous" vertical="center"/>
    </xf>
    <xf numFmtId="165" fontId="2" fillId="0" borderId="13" xfId="1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>
      <alignment horizontal="center" wrapText="1"/>
    </xf>
    <xf numFmtId="165" fontId="4" fillId="0" borderId="11" xfId="0" applyFont="1" applyBorder="1" applyAlignment="1">
      <alignment vertical="top" wrapText="1"/>
    </xf>
    <xf numFmtId="165" fontId="4" fillId="0" borderId="14" xfId="0" applyFont="1" applyBorder="1" applyAlignment="1">
      <alignment vertical="top" wrapText="1"/>
    </xf>
    <xf numFmtId="165" fontId="4" fillId="0" borderId="7" xfId="0" applyFont="1" applyBorder="1" applyAlignment="1">
      <alignment horizontal="left" vertical="top" wrapText="1"/>
    </xf>
    <xf numFmtId="165" fontId="4" fillId="0" borderId="10" xfId="0" applyFont="1" applyBorder="1" applyAlignment="1">
      <alignment vertical="top"/>
    </xf>
    <xf numFmtId="165" fontId="4" fillId="0" borderId="13" xfId="0" applyFont="1" applyBorder="1" applyAlignment="1">
      <alignment vertical="top" wrapText="1"/>
    </xf>
    <xf numFmtId="167" fontId="4" fillId="0" borderId="7" xfId="0" applyNumberFormat="1" applyFont="1" applyBorder="1" applyAlignment="1">
      <alignment horizontal="center" wrapText="1"/>
    </xf>
    <xf numFmtId="165" fontId="4" fillId="0" borderId="15" xfId="0" applyFont="1" applyBorder="1" applyAlignment="1">
      <alignment vertical="top"/>
    </xf>
    <xf numFmtId="165" fontId="4" fillId="0" borderId="26" xfId="0" applyFont="1" applyBorder="1" applyAlignment="1">
      <alignment vertical="top" wrapText="1"/>
    </xf>
    <xf numFmtId="0" fontId="4" fillId="0" borderId="3" xfId="0" applyNumberFormat="1" applyFont="1" applyBorder="1" applyAlignment="1">
      <alignment vertical="top"/>
    </xf>
    <xf numFmtId="2" fontId="4" fillId="0" borderId="3" xfId="0" applyNumberFormat="1" applyFont="1" applyBorder="1" applyAlignment="1">
      <alignment horizontal="center" wrapText="1"/>
    </xf>
    <xf numFmtId="10" fontId="1" fillId="0" borderId="3" xfId="32" applyNumberFormat="1" applyFont="1" applyFill="1" applyBorder="1" applyAlignment="1">
      <alignment horizontal="center"/>
    </xf>
    <xf numFmtId="0" fontId="11" fillId="0" borderId="11" xfId="31" applyFont="1" applyBorder="1" applyAlignment="1">
      <alignment horizontal="center" vertical="center"/>
    </xf>
    <xf numFmtId="0" fontId="11" fillId="0" borderId="7" xfId="31" applyFont="1" applyBorder="1" applyAlignment="1">
      <alignment horizontal="center" vertical="center"/>
    </xf>
    <xf numFmtId="165" fontId="11" fillId="0" borderId="8" xfId="0" applyFont="1" applyFill="1" applyBorder="1" applyAlignment="1">
      <alignment horizontal="center" vertical="center"/>
    </xf>
    <xf numFmtId="165" fontId="11" fillId="0" borderId="27" xfId="0" applyFont="1" applyFill="1" applyBorder="1" applyAlignment="1">
      <alignment horizontal="center" vertical="center"/>
    </xf>
    <xf numFmtId="165" fontId="11" fillId="0" borderId="15" xfId="0" applyFont="1" applyFill="1" applyBorder="1" applyAlignment="1">
      <alignment horizontal="center" vertical="center"/>
    </xf>
    <xf numFmtId="165" fontId="11" fillId="0" borderId="0" xfId="0" applyFont="1" applyFill="1" applyBorder="1" applyAlignment="1">
      <alignment horizontal="center" vertical="center"/>
    </xf>
    <xf numFmtId="165" fontId="11" fillId="0" borderId="10" xfId="0" applyFont="1" applyFill="1" applyBorder="1" applyAlignment="1">
      <alignment horizontal="center" vertical="center"/>
    </xf>
    <xf numFmtId="165" fontId="11" fillId="0" borderId="4" xfId="0" applyFont="1" applyFill="1" applyBorder="1" applyAlignment="1">
      <alignment horizontal="center" vertical="center"/>
    </xf>
    <xf numFmtId="165" fontId="11" fillId="0" borderId="11" xfId="0" applyFont="1" applyFill="1" applyBorder="1" applyAlignment="1">
      <alignment horizontal="left" vertical="center"/>
    </xf>
    <xf numFmtId="165" fontId="11" fillId="0" borderId="7" xfId="0" applyFont="1" applyFill="1" applyBorder="1" applyAlignment="1">
      <alignment horizontal="left" vertical="center"/>
    </xf>
    <xf numFmtId="165" fontId="14" fillId="0" borderId="11" xfId="0" applyFont="1" applyBorder="1" applyAlignment="1">
      <alignment vertical="center"/>
    </xf>
    <xf numFmtId="165" fontId="14" fillId="0" borderId="7" xfId="0" applyFont="1" applyBorder="1" applyAlignment="1">
      <alignment vertical="center"/>
    </xf>
    <xf numFmtId="165" fontId="11" fillId="0" borderId="11" xfId="0" applyFont="1" applyBorder="1" applyAlignment="1">
      <alignment vertical="center"/>
    </xf>
    <xf numFmtId="165" fontId="11" fillId="0" borderId="7" xfId="0" applyFont="1" applyBorder="1" applyAlignment="1">
      <alignment vertical="center"/>
    </xf>
    <xf numFmtId="165" fontId="4" fillId="0" borderId="11" xfId="0" applyFont="1" applyBorder="1" applyAlignment="1">
      <alignment horizontal="left" vertical="top" wrapText="1"/>
    </xf>
    <xf numFmtId="165" fontId="4" fillId="0" borderId="14" xfId="0" applyFont="1" applyBorder="1" applyAlignment="1">
      <alignment horizontal="left" vertical="top" wrapText="1"/>
    </xf>
    <xf numFmtId="165" fontId="14" fillId="0" borderId="5" xfId="1" applyNumberFormat="1" applyFont="1" applyBorder="1" applyAlignment="1">
      <alignment horizontal="center" vertical="center"/>
    </xf>
    <xf numFmtId="165" fontId="14" fillId="0" borderId="2" xfId="1" applyNumberFormat="1" applyFont="1" applyBorder="1" applyAlignment="1">
      <alignment horizontal="center" vertical="center"/>
    </xf>
    <xf numFmtId="165" fontId="14" fillId="0" borderId="6" xfId="1" applyNumberFormat="1" applyFont="1" applyBorder="1" applyAlignment="1">
      <alignment horizontal="center" vertical="center"/>
    </xf>
    <xf numFmtId="165" fontId="4" fillId="0" borderId="7" xfId="0" applyFont="1" applyBorder="1" applyAlignment="1">
      <alignment horizontal="left" vertical="top" wrapText="1"/>
    </xf>
    <xf numFmtId="165" fontId="10" fillId="0" borderId="0" xfId="1" applyNumberFormat="1" applyFont="1" applyFill="1" applyBorder="1" applyAlignment="1">
      <alignment horizontal="left" vertical="center" wrapText="1"/>
    </xf>
    <xf numFmtId="165" fontId="4" fillId="0" borderId="3" xfId="0" applyFont="1" applyBorder="1" applyAlignment="1">
      <alignment horizontal="left" vertical="top" wrapText="1"/>
    </xf>
    <xf numFmtId="165" fontId="7" fillId="8" borderId="0" xfId="0" applyFont="1" applyFill="1" applyAlignment="1">
      <alignment horizontal="center"/>
    </xf>
    <xf numFmtId="165" fontId="57" fillId="0" borderId="0" xfId="1" applyNumberFormat="1" applyFont="1" applyFill="1" applyBorder="1" applyAlignment="1">
      <alignment horizontal="center" vertical="center"/>
    </xf>
    <xf numFmtId="165" fontId="58" fillId="0" borderId="0" xfId="1" applyNumberFormat="1" applyFont="1" applyFill="1" applyBorder="1" applyAlignment="1">
      <alignment horizontal="center" vertical="center"/>
    </xf>
  </cellXfs>
  <cellStyles count="47">
    <cellStyle name="A3 297 x 420 mm" xfId="1"/>
    <cellStyle name="args.style" xfId="2"/>
    <cellStyle name="Calc Currency (0)" xfId="3"/>
    <cellStyle name="Comma0 - Modelo1" xfId="4"/>
    <cellStyle name="Comma0 - Style1" xfId="5"/>
    <cellStyle name="Comma0 - Style2" xfId="6"/>
    <cellStyle name="Comma1 - Modelo2" xfId="7"/>
    <cellStyle name="Comma1 - Style1" xfId="8"/>
    <cellStyle name="Comma1 - Style2" xfId="9"/>
    <cellStyle name="Copied" xfId="10"/>
    <cellStyle name="COST1" xfId="11"/>
    <cellStyle name="Entered" xfId="12"/>
    <cellStyle name="Euro" xfId="13"/>
    <cellStyle name="Grey" xfId="14"/>
    <cellStyle name="Header1" xfId="15"/>
    <cellStyle name="Header2" xfId="16"/>
    <cellStyle name="Hipervínculo" xfId="17" builtinId="8"/>
    <cellStyle name="Hipervínculo_IndicadoresPliegosTarifarios" xfId="18"/>
    <cellStyle name="Input [yellow]" xfId="19"/>
    <cellStyle name="Input Cells" xfId="20"/>
    <cellStyle name="Linked Cells" xfId="21"/>
    <cellStyle name="Milliers [0]_!!!GO" xfId="22"/>
    <cellStyle name="Milliers_!!!GO" xfId="23"/>
    <cellStyle name="Monétaire [0]_!!!GO" xfId="24"/>
    <cellStyle name="Monétaire_!!!GO" xfId="25"/>
    <cellStyle name="no dec" xfId="26"/>
    <cellStyle name="Normal" xfId="0" builtinId="0"/>
    <cellStyle name="Normal - Style1" xfId="27"/>
    <cellStyle name="Normal 2" xfId="28"/>
    <cellStyle name="Normal 4" xfId="46"/>
    <cellStyle name="Normal_CalculoTasaArancelaria28012009" xfId="29"/>
    <cellStyle name="Normal_IndicadoresPliegosTarifarios" xfId="30"/>
    <cellStyle name="Normal_Libro2" xfId="31"/>
    <cellStyle name="Normal_Libro6" xfId="32"/>
    <cellStyle name="Normal_METALS (2)" xfId="33"/>
    <cellStyle name="Normal_TransSecun" xfId="34"/>
    <cellStyle name="Œ…‹æØ‚è [0.00]_!!!GO" xfId="35"/>
    <cellStyle name="Œ…‹æØ‚è_!!!GO" xfId="36"/>
    <cellStyle name="per.style" xfId="37"/>
    <cellStyle name="Percent [2]" xfId="38"/>
    <cellStyle name="Porcentaje" xfId="39" builtinId="5"/>
    <cellStyle name="pricing" xfId="40"/>
    <cellStyle name="PSChar" xfId="41"/>
    <cellStyle name="RevList" xfId="42"/>
    <cellStyle name="RM" xfId="43"/>
    <cellStyle name="Subtotal" xfId="44"/>
    <cellStyle name="一般_Cargos Prepago_04102006(1)" xfId="45"/>
  </cellStyles>
  <dxfs count="100">
    <dxf>
      <font>
        <color theme="0"/>
      </font>
    </dxf>
    <dxf>
      <font>
        <color theme="0"/>
      </font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jpeg"/><Relationship Id="rId5" Type="http://schemas.openxmlformats.org/officeDocument/2006/relationships/image" Target="../media/image28.png"/><Relationship Id="rId10" Type="http://schemas.openxmlformats.org/officeDocument/2006/relationships/image" Target="../media/image33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jpeg"/><Relationship Id="rId1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33</xdr:row>
      <xdr:rowOff>123825</xdr:rowOff>
    </xdr:from>
    <xdr:to>
      <xdr:col>9</xdr:col>
      <xdr:colOff>756285</xdr:colOff>
      <xdr:row>47</xdr:row>
      <xdr:rowOff>97155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4425" y="5734050"/>
          <a:ext cx="3718560" cy="224028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50</xdr:row>
      <xdr:rowOff>85725</xdr:rowOff>
    </xdr:from>
    <xdr:to>
      <xdr:col>9</xdr:col>
      <xdr:colOff>731520</xdr:colOff>
      <xdr:row>68</xdr:row>
      <xdr:rowOff>66675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0" y="8448675"/>
          <a:ext cx="3665220" cy="28956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71</xdr:row>
      <xdr:rowOff>85725</xdr:rowOff>
    </xdr:from>
    <xdr:to>
      <xdr:col>9</xdr:col>
      <xdr:colOff>758190</xdr:colOff>
      <xdr:row>86</xdr:row>
      <xdr:rowOff>102870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2050" y="11849100"/>
          <a:ext cx="3672840" cy="244602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112</xdr:row>
      <xdr:rowOff>123825</xdr:rowOff>
    </xdr:from>
    <xdr:to>
      <xdr:col>6</xdr:col>
      <xdr:colOff>979170</xdr:colOff>
      <xdr:row>125</xdr:row>
      <xdr:rowOff>129540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5500" y="18783300"/>
          <a:ext cx="4693920" cy="211074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133</xdr:row>
      <xdr:rowOff>85725</xdr:rowOff>
    </xdr:from>
    <xdr:to>
      <xdr:col>3</xdr:col>
      <xdr:colOff>874395</xdr:colOff>
      <xdr:row>150</xdr:row>
      <xdr:rowOff>120015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3350" y="22212300"/>
          <a:ext cx="4541520" cy="317754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133</xdr:row>
      <xdr:rowOff>76200</xdr:rowOff>
    </xdr:from>
    <xdr:to>
      <xdr:col>9</xdr:col>
      <xdr:colOff>782955</xdr:colOff>
      <xdr:row>139</xdr:row>
      <xdr:rowOff>167640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981575" y="22202775"/>
          <a:ext cx="3688080" cy="123444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141</xdr:row>
      <xdr:rowOff>104775</xdr:rowOff>
    </xdr:from>
    <xdr:to>
      <xdr:col>9</xdr:col>
      <xdr:colOff>702945</xdr:colOff>
      <xdr:row>150</xdr:row>
      <xdr:rowOff>139065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62525" y="23755350"/>
          <a:ext cx="3627120" cy="16535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152</xdr:row>
      <xdr:rowOff>104775</xdr:rowOff>
    </xdr:from>
    <xdr:to>
      <xdr:col>9</xdr:col>
      <xdr:colOff>693420</xdr:colOff>
      <xdr:row>181</xdr:row>
      <xdr:rowOff>34290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2400" y="25746075"/>
          <a:ext cx="8427720" cy="4625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235104</xdr:colOff>
      <xdr:row>61</xdr:row>
      <xdr:rowOff>58840</xdr:rowOff>
    </xdr:from>
    <xdr:ext cx="3664543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2 CuadroTexto"/>
            <xdr:cNvSpPr txBox="1"/>
          </xdr:nvSpPr>
          <xdr:spPr>
            <a:xfrm>
              <a:off x="9569604" y="12497369"/>
              <a:ext cx="3664543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𝐹𝐴𝑇𝑆</m:t>
                    </m:r>
                    <m:r>
                      <a:rPr lang="es-PE" sz="1400" i="1">
                        <a:latin typeface="Cambria Math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𝑎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𝑏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𝑐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𝑃𝑐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𝑃𝑐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𝑑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𝑃𝑎𝑙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𝑃𝑎𝑙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3" name="2 CuadroTexto"/>
            <xdr:cNvSpPr txBox="1"/>
          </xdr:nvSpPr>
          <xdr:spPr>
            <a:xfrm>
              <a:off x="9569604" y="12497369"/>
              <a:ext cx="3664543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𝐹𝐴𝑇𝑆</a:t>
              </a:r>
              <a:r>
                <a:rPr lang="es-PE" sz="1400" i="0">
                  <a:latin typeface="Cambria Math"/>
                </a:rPr>
                <a:t>=(</a:t>
              </a:r>
              <a:r>
                <a:rPr lang="es-PE" sz="1400" b="0" i="0">
                  <a:latin typeface="Cambria Math"/>
                </a:rPr>
                <a:t>𝑎 𝑇𝐶/〖𝑇𝐶〗_0 +𝑏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 𝐼𝑃𝑀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/〖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𝐼𝑃𝑀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+𝑐 𝑃𝑐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/〖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𝑃𝑐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+𝑑 𝑃𝑎𝑙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/〖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𝑃𝑎𝑙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145457</xdr:colOff>
      <xdr:row>25</xdr:row>
      <xdr:rowOff>114870</xdr:rowOff>
    </xdr:from>
    <xdr:ext cx="4023131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20 CuadroTexto"/>
            <xdr:cNvSpPr txBox="1"/>
          </xdr:nvSpPr>
          <xdr:spPr>
            <a:xfrm>
              <a:off x="9479957" y="5381635"/>
              <a:ext cx="4023131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𝐹𝐴𝑇𝑃</m:t>
                    </m:r>
                    <m:r>
                      <a:rPr lang="es-PE" sz="1400" i="1">
                        <a:latin typeface="Cambria Math" pitchFamily="18" charset="0"/>
                        <a:ea typeface="Cambria Math" pitchFamily="18" charset="0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  <a:ea typeface="Cambria Math" pitchFamily="18" charset="0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𝑙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  <a:ea typeface="Cambria Math" pitchFamily="18" charset="0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 pitchFamily="18" charset="0"/>
                                <a:ea typeface="Cambria Math" pitchFamily="18" charset="0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  <a:ea typeface="Cambria Math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+</m:t>
                        </m:r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𝑚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itchFamily="18" charset="0"/>
                                <a:cs typeface="+mn-cs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𝑛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itchFamily="18" charset="0"/>
                                <a:ea typeface="Cambria Math" pitchFamily="18" charset="0"/>
                                <a:cs typeface="+mn-cs"/>
                              </a:rPr>
                              <m:t>𝑃𝑎𝑙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𝑃𝑎𝑙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𝑜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itchFamily="18" charset="0"/>
                                <a:ea typeface="Cambria Math" pitchFamily="18" charset="0"/>
                                <a:cs typeface="+mn-cs"/>
                              </a:rPr>
                              <m:t>𝑃𝑐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𝑃𝑐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𝑝</m:t>
                        </m:r>
                      </m:e>
                    </m:d>
                  </m:oMath>
                </m:oMathPara>
              </a14:m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Choice>
      <mc:Fallback xmlns="">
        <xdr:sp macro="" textlink="">
          <xdr:nvSpPr>
            <xdr:cNvPr id="21" name="20 CuadroTexto"/>
            <xdr:cNvSpPr txBox="1"/>
          </xdr:nvSpPr>
          <xdr:spPr>
            <a:xfrm>
              <a:off x="9479957" y="5381635"/>
              <a:ext cx="4023131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𝐹𝐴𝑇𝑃</a:t>
              </a:r>
              <a:r>
                <a:rPr lang="es-PE" sz="1400" i="0">
                  <a:latin typeface="Cambria Math" pitchFamily="18" charset="0"/>
                  <a:ea typeface="Cambria Math" pitchFamily="18" charset="0"/>
                </a:rPr>
                <a:t>=(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𝑙 𝑇𝐶/〖𝑇𝐶〗_0 +𝑚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𝐼𝑃𝑀/〖𝐼𝑃𝑀〗_0 +𝑛 𝑃𝑎𝑙/〖𝑃𝑎𝑙〗_0 +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𝑜 𝑃𝑐/〖𝑃𝑐〗_0 +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𝑝)</a:t>
              </a:r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Fallback>
    </mc:AlternateContent>
    <xdr:clientData/>
  </xdr:oneCellAnchor>
  <xdr:oneCellAnchor>
    <xdr:from>
      <xdr:col>6</xdr:col>
      <xdr:colOff>190278</xdr:colOff>
      <xdr:row>87</xdr:row>
      <xdr:rowOff>70047</xdr:rowOff>
    </xdr:from>
    <xdr:ext cx="8617545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22 CuadroTexto"/>
            <xdr:cNvSpPr txBox="1"/>
          </xdr:nvSpPr>
          <xdr:spPr>
            <a:xfrm>
              <a:off x="9524778" y="17999459"/>
              <a:ext cx="8617545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𝐹𝐴𝑉𝑀𝑇</m:t>
                    </m:r>
                    <m:r>
                      <a:rPr lang="es-PE" sz="1400" i="1">
                        <a:latin typeface="Cambria Math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𝐴𝑀𝑇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𝐵𝑀𝑇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  <a:ea typeface="Cambria Math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𝑇𝐴𝑀𝑇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𝑇𝐴𝑀𝑇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𝐶𝑀𝑇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𝐷𝑀𝑇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23" name="22 CuadroTexto"/>
            <xdr:cNvSpPr txBox="1"/>
          </xdr:nvSpPr>
          <xdr:spPr>
            <a:xfrm>
              <a:off x="9524778" y="17999459"/>
              <a:ext cx="8617545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𝐹𝐴𝑉𝑀𝑇</a:t>
              </a:r>
              <a:r>
                <a:rPr lang="es-PE" sz="1400" i="0">
                  <a:latin typeface="Cambria Math"/>
                </a:rPr>
                <a:t>=(</a:t>
              </a:r>
              <a:r>
                <a:rPr lang="es-PE" sz="1400" b="0" i="0">
                  <a:latin typeface="Cambria Math"/>
                </a:rPr>
                <a:t>𝐴𝑀𝑇 𝐼𝑃𝑀/〖𝐼𝑃𝑀〗_0 +𝐵𝑀𝑇 𝑇𝐶/〖𝑇𝐶〗_0 </a:t>
              </a:r>
              <a:r>
                <a:rPr lang="es-PE" sz="1400" b="0" i="0">
                  <a:latin typeface="Cambria Math"/>
                  <a:ea typeface="Cambria Math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(1+𝑇𝐴𝑀𝑇)/〖1+𝑇𝐴𝑀𝑇〗_0 +𝐶𝑀𝑇 𝐼𝑃𝐶𝑢/〖𝐼𝑃𝐶𝑢〗_0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(1+𝑇𝐴𝐶𝑢)/〖1+𝑇𝐴𝐶𝑢〗_0 +𝐷𝑀𝑇 𝐼𝑃𝐴𝑙/〖𝐼𝑃𝐴𝑙〗_0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(1+𝑇𝐴𝐴𝑙)/〖1+𝑇𝐴𝐴𝑙〗_0 )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123045</xdr:colOff>
      <xdr:row>130</xdr:row>
      <xdr:rowOff>14019</xdr:rowOff>
    </xdr:from>
    <xdr:ext cx="5468692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25 CuadroTexto"/>
            <xdr:cNvSpPr txBox="1"/>
          </xdr:nvSpPr>
          <xdr:spPr>
            <a:xfrm>
              <a:off x="9457545" y="28163195"/>
              <a:ext cx="5468692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𝐹𝐴𝑃𝐶</m:t>
                    </m:r>
                    <m:r>
                      <a:rPr lang="es-PE" sz="1400" b="0" i="1">
                        <a:latin typeface="Cambria Math"/>
                      </a:rPr>
                      <m:t>(</m:t>
                    </m:r>
                    <m:r>
                      <a:rPr lang="es-PE" sz="1400" b="0" i="1">
                        <a:latin typeface="Cambria Math"/>
                      </a:rPr>
                      <m:t>𝑥</m:t>
                    </m:r>
                    <m:r>
                      <a:rPr lang="es-PE" sz="1400" b="0" i="1">
                        <a:latin typeface="Cambria Math"/>
                      </a:rPr>
                      <m:t>)=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𝐴𝑃𝐶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𝐵𝑃𝐶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𝐶𝑃𝐶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𝐷𝑃𝐶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26" name="25 CuadroTexto"/>
            <xdr:cNvSpPr txBox="1"/>
          </xdr:nvSpPr>
          <xdr:spPr>
            <a:xfrm>
              <a:off x="9457545" y="28163195"/>
              <a:ext cx="5468692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𝐹𝐴𝑃𝐶(𝑥)=</a:t>
              </a:r>
              <a:r>
                <a:rPr lang="es-PE" sz="1400" i="0">
                  <a:latin typeface="Cambria Math"/>
                </a:rPr>
                <a:t>(</a:t>
              </a:r>
              <a:r>
                <a:rPr lang="es-PE" sz="1400" b="0" i="0">
                  <a:latin typeface="Cambria Math"/>
                </a:rPr>
                <a:t>𝐴𝑃𝐶 𝐼𝑃𝑀/〖𝐼𝑃𝑀〗_0 +𝐵𝑃𝐶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 𝐷/𝐷_0 +𝐶𝑃𝐶 𝐼𝑃𝐶𝑢/〖𝐼𝑃𝐶𝑢〗_0   𝐷/𝐷_0 +𝐷𝑃𝐶 𝐼𝑃𝐴𝑙/〖𝐼𝑃𝐴𝑙〗_0   𝐷/𝐷_0 )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177394</xdr:colOff>
      <xdr:row>139</xdr:row>
      <xdr:rowOff>229172</xdr:rowOff>
    </xdr:from>
    <xdr:ext cx="5726426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26 CuadroTexto"/>
            <xdr:cNvSpPr txBox="1"/>
          </xdr:nvSpPr>
          <xdr:spPr>
            <a:xfrm>
              <a:off x="9502369" y="32385572"/>
              <a:ext cx="572642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𝐹𝐴𝐶𝑀</m:t>
                    </m:r>
                    <m:r>
                      <a:rPr lang="es-PE" sz="1400" b="0" i="1">
                        <a:latin typeface="Cambria Math"/>
                      </a:rPr>
                      <m:t>(</m:t>
                    </m:r>
                    <m:r>
                      <a:rPr lang="es-PE" sz="1400" b="0" i="1">
                        <a:latin typeface="Cambria Math"/>
                      </a:rPr>
                      <m:t>𝑥</m:t>
                    </m:r>
                    <m:r>
                      <a:rPr lang="es-PE" sz="1400" b="0" i="1">
                        <a:latin typeface="Cambria Math"/>
                      </a:rPr>
                      <m:t>)=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𝐴𝐶𝑀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𝐵𝐶𝑀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𝐶𝐶𝑀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𝐷𝐶𝑀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27" name="26 CuadroTexto"/>
            <xdr:cNvSpPr txBox="1"/>
          </xdr:nvSpPr>
          <xdr:spPr>
            <a:xfrm>
              <a:off x="9502369" y="32385572"/>
              <a:ext cx="572642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𝐹𝐴𝐶𝑀(𝑥)=</a:t>
              </a:r>
              <a:r>
                <a:rPr lang="es-PE" sz="1400" i="0">
                  <a:latin typeface="Cambria Math"/>
                </a:rPr>
                <a:t>(</a:t>
              </a:r>
              <a:r>
                <a:rPr lang="es-PE" sz="1400" b="0" i="0">
                  <a:latin typeface="Cambria Math"/>
                </a:rPr>
                <a:t>𝐴𝐶𝑀 𝐼𝑃𝑀/〖𝐼𝑃𝑀〗_0 +𝐵𝐶𝑀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 𝐷/𝐷_0 +𝐶𝐶𝑀 𝐼𝑃𝐶𝑢/〖𝐼𝑃𝐶𝑢〗_0   𝐷/𝐷_0 +𝐷𝐶𝑀 𝐼𝑃𝐴𝑙/〖𝐼𝑃𝐴𝑙〗_0   𝐷/𝐷_0 )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144336</xdr:colOff>
      <xdr:row>144</xdr:row>
      <xdr:rowOff>182665</xdr:rowOff>
    </xdr:from>
    <xdr:ext cx="3003396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27 CuadroTexto"/>
            <xdr:cNvSpPr txBox="1"/>
          </xdr:nvSpPr>
          <xdr:spPr>
            <a:xfrm>
              <a:off x="9469311" y="33643990"/>
              <a:ext cx="300339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𝐹𝐴𝐼𝑀</m:t>
                    </m:r>
                    <m:r>
                      <a:rPr lang="es-PE" sz="1400" b="0" i="1">
                        <a:latin typeface="Cambria Math"/>
                      </a:rPr>
                      <m:t>(</m:t>
                    </m:r>
                    <m:r>
                      <a:rPr lang="es-PE" sz="1400" b="0" i="1">
                        <a:latin typeface="Cambria Math"/>
                      </a:rPr>
                      <m:t>𝑥</m:t>
                    </m:r>
                    <m:r>
                      <a:rPr lang="es-PE" sz="1400" b="0" i="1">
                        <a:latin typeface="Cambria Math"/>
                      </a:rPr>
                      <m:t>)=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28" name="27 CuadroTexto"/>
            <xdr:cNvSpPr txBox="1"/>
          </xdr:nvSpPr>
          <xdr:spPr>
            <a:xfrm>
              <a:off x="9469311" y="33643990"/>
              <a:ext cx="300339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𝐹𝐴𝐼𝑀(𝑥)=</a:t>
              </a:r>
              <a:r>
                <a:rPr lang="es-PE" sz="1400" i="0">
                  <a:latin typeface="Cambria Math"/>
                </a:rPr>
                <a:t>(</a:t>
              </a:r>
              <a:r>
                <a:rPr lang="es-PE" sz="1400" b="0" i="0">
                  <a:latin typeface="Cambria Math"/>
                </a:rPr>
                <a:t>𝐼𝑃𝑀/〖𝐼𝑃𝑀〗_0 )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123046</xdr:colOff>
      <xdr:row>5</xdr:row>
      <xdr:rowOff>81253</xdr:rowOff>
    </xdr:from>
    <xdr:ext cx="2835308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12 CuadroTexto"/>
            <xdr:cNvSpPr txBox="1"/>
          </xdr:nvSpPr>
          <xdr:spPr>
            <a:xfrm>
              <a:off x="9457546" y="977724"/>
              <a:ext cx="2835308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𝐹𝐴𝑃𝑃𝑀𝑠𝑒𝑖𝑛</m:t>
                    </m:r>
                    <m:r>
                      <a:rPr lang="es-PE" sz="1400" i="1">
                        <a:latin typeface="Cambria Math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𝑎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𝑏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13" name="12 CuadroTexto"/>
            <xdr:cNvSpPr txBox="1"/>
          </xdr:nvSpPr>
          <xdr:spPr>
            <a:xfrm>
              <a:off x="9457546" y="977724"/>
              <a:ext cx="2835308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𝐹𝐴𝑃𝑃𝑀𝑠𝑒𝑖𝑛</a:t>
              </a:r>
              <a:r>
                <a:rPr lang="es-PE" sz="1400" i="0">
                  <a:latin typeface="Cambria Math"/>
                </a:rPr>
                <a:t>=(</a:t>
              </a:r>
              <a:r>
                <a:rPr lang="es-PE" sz="1400" b="0" i="0">
                  <a:latin typeface="Cambria Math"/>
                </a:rPr>
                <a:t>𝑎 𝑇𝐶/〖𝑇𝐶〗_0 +𝑏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 𝐼𝑃𝑀/〖𝐼𝑃𝑀〗_0 )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123045</xdr:colOff>
      <xdr:row>7</xdr:row>
      <xdr:rowOff>204518</xdr:rowOff>
    </xdr:from>
    <xdr:ext cx="8146895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13 CuadroTexto"/>
            <xdr:cNvSpPr txBox="1"/>
          </xdr:nvSpPr>
          <xdr:spPr>
            <a:xfrm>
              <a:off x="9457545" y="1549224"/>
              <a:ext cx="8146895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𝐹𝐴𝑃𝐸𝑀𝑠𝑒𝑖𝑛</m:t>
                    </m:r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  <a:ea typeface="Cambria Math" pitchFamily="18" charset="0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𝑑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  <a:ea typeface="Cambria Math" pitchFamily="18" charset="0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 pitchFamily="18" charset="0"/>
                                <a:ea typeface="Cambria Math" pitchFamily="18" charset="0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  <a:ea typeface="Cambria Math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+</m:t>
                        </m:r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𝑠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itchFamily="18" charset="0"/>
                                <a:cs typeface="+mn-cs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𝑒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𝑃𝐷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2 + 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𝐼𝑆𝐶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_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𝐷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2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𝑃𝐷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2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𝐼𝑆𝐶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_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𝐷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2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</m:e>
                            </m:d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𝑓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𝑃𝑅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6 + 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𝐼𝑆𝐶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_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𝑅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6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𝑃𝑅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6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𝐼𝑆𝐶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_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𝑅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6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</m:e>
                            </m:d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𝑔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itchFamily="18" charset="0"/>
                                <a:ea typeface="Cambria Math" pitchFamily="18" charset="0"/>
                                <a:cs typeface="+mn-cs"/>
                              </a:rPr>
                              <m:t>𝑃𝐺𝑁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𝑃𝐺𝑁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𝑐𝑏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itchFamily="18" charset="0"/>
                                <a:ea typeface="Cambria Math" pitchFamily="18" charset="0"/>
                                <a:cs typeface="+mn-cs"/>
                              </a:rPr>
                              <m:t>𝑃𝐶𝐵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𝑃𝐶𝐵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itchFamily="18" charset="0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Choice>
      <mc:Fallback xmlns="">
        <xdr:sp macro="" textlink="">
          <xdr:nvSpPr>
            <xdr:cNvPr id="14" name="13 CuadroTexto"/>
            <xdr:cNvSpPr txBox="1"/>
          </xdr:nvSpPr>
          <xdr:spPr>
            <a:xfrm>
              <a:off x="9457545" y="1549224"/>
              <a:ext cx="8146895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𝐹𝐴𝑃𝐸𝑀𝑠𝑒𝑖𝑛=</a:t>
              </a:r>
              <a:r>
                <a:rPr lang="es-PE" sz="1400" i="0">
                  <a:latin typeface="Cambria Math" pitchFamily="18" charset="0"/>
                  <a:ea typeface="Cambria Math" pitchFamily="18" charset="0"/>
                </a:rPr>
                <a:t>(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𝑑 𝑇𝐶/〖𝑇𝐶〗_0 +𝑠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𝐼𝑃𝑀/〖𝐼𝑃𝑀〗_0 +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𝑒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((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𝑃𝐷2 + 𝐼𝑆𝐶_𝐷2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))/((〖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𝑃𝐷2〗_0+〖𝐼𝑆𝐶_𝐷2〗_0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) )+𝑓 ((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𝑃𝑅6 + 𝐼𝑆𝐶_𝑅6))/((〖𝑃𝑅6〗_0+〖𝐼𝑆𝐶_𝑅6〗_0 ) )+𝑔 𝑃𝐺𝑁/〖𝑃𝐺𝑁〗_0 +𝑐𝑏 𝑃𝐶𝐵/〖𝑃𝐶𝐵〗_0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)</a:t>
              </a:r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Fallback>
    </mc:AlternateContent>
    <xdr:clientData/>
  </xdr:oneCellAnchor>
  <xdr:oneCellAnchor>
    <xdr:from>
      <xdr:col>6</xdr:col>
      <xdr:colOff>167869</xdr:colOff>
      <xdr:row>11</xdr:row>
      <xdr:rowOff>170900</xdr:rowOff>
    </xdr:from>
    <xdr:ext cx="8146895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14 CuadroTexto"/>
            <xdr:cNvSpPr txBox="1"/>
          </xdr:nvSpPr>
          <xdr:spPr>
            <a:xfrm>
              <a:off x="9502369" y="2187959"/>
              <a:ext cx="8146895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𝐹𝐴𝑃𝐸𝑀𝑠𝑒𝑖𝑛</m:t>
                    </m:r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  <a:ea typeface="Cambria Math" pitchFamily="18" charset="0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𝑑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  <a:ea typeface="Cambria Math" pitchFamily="18" charset="0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 pitchFamily="18" charset="0"/>
                                <a:ea typeface="Cambria Math" pitchFamily="18" charset="0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  <a:ea typeface="Cambria Math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+</m:t>
                        </m:r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𝑠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itchFamily="18" charset="0"/>
                                <a:cs typeface="+mn-cs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𝑒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𝑃𝐷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2 + 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𝐼𝑆𝐶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_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𝐷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2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𝑃𝐷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2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𝐼𝑆𝐶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_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𝐷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2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</m:e>
                            </m:d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𝑓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𝑃𝑅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6 + 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𝐼𝑆𝐶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_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𝑅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6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𝑃𝑅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6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𝐼𝑆𝐶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_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𝑅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6</m:t>
                                    </m:r>
                                  </m:e>
                                  <m:sub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0</m:t>
                                    </m:r>
                                  </m:sub>
                                </m:sSub>
                              </m:e>
                            </m:d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𝑔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itchFamily="18" charset="0"/>
                                <a:ea typeface="Cambria Math" pitchFamily="18" charset="0"/>
                                <a:cs typeface="+mn-cs"/>
                              </a:rPr>
                              <m:t>𝑃𝐺𝑁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𝑃𝐺𝑁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 pitchFamily="18" charset="0"/>
                            <a:ea typeface="Cambria Math" pitchFamily="18" charset="0"/>
                            <a:cs typeface="+mn-cs"/>
                          </a:rPr>
                          <m:t>𝑐𝑏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itchFamily="18" charset="0"/>
                                <a:ea typeface="Cambria Math" pitchFamily="18" charset="0"/>
                                <a:cs typeface="+mn-cs"/>
                              </a:rPr>
                              <m:t>𝑃𝐶𝐵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𝑃𝐶𝐵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itchFamily="18" charset="0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itchFamily="18" charset="0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Choice>
      <mc:Fallback xmlns="">
        <xdr:sp macro="" textlink="">
          <xdr:nvSpPr>
            <xdr:cNvPr id="15" name="14 CuadroTexto"/>
            <xdr:cNvSpPr txBox="1"/>
          </xdr:nvSpPr>
          <xdr:spPr>
            <a:xfrm>
              <a:off x="9502369" y="2187959"/>
              <a:ext cx="8146895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𝐹𝐴𝑃𝐸𝑀𝑠𝑒𝑖𝑛=</a:t>
              </a:r>
              <a:r>
                <a:rPr lang="es-PE" sz="1400" i="0">
                  <a:latin typeface="Cambria Math" pitchFamily="18" charset="0"/>
                  <a:ea typeface="Cambria Math" pitchFamily="18" charset="0"/>
                </a:rPr>
                <a:t>(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𝑑 𝑇𝐶/〖𝑇𝐶〗_0 +𝑠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𝐼𝑃𝑀/〖𝐼𝑃𝑀〗_0 +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𝑒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((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𝑃𝐷2 + 𝐼𝑆𝐶_𝐷2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))/((〖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𝑃𝐷2〗_0+〖𝐼𝑆𝐶_𝐷2〗_0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 ) )+𝑓 ((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𝑃𝑅6 + 𝐼𝑆𝐶_𝑅6))/((〖𝑃𝑅6〗_0+〖𝐼𝑆𝐶_𝑅6〗_0 ) )+𝑔 𝑃𝐺𝑁/〖𝑃𝐺𝑁〗_0 +𝑐𝑏 𝑃𝐶𝐵/〖𝑃𝐶𝐵〗_0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)</a:t>
              </a:r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Fallback>
    </mc:AlternateContent>
    <xdr:clientData/>
  </xdr:oneCellAnchor>
  <xdr:oneCellAnchor>
    <xdr:from>
      <xdr:col>6</xdr:col>
      <xdr:colOff>134252</xdr:colOff>
      <xdr:row>21</xdr:row>
      <xdr:rowOff>92459</xdr:rowOff>
    </xdr:from>
    <xdr:ext cx="7933984" cy="6510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15 CuadroTexto"/>
            <xdr:cNvSpPr txBox="1"/>
          </xdr:nvSpPr>
          <xdr:spPr>
            <a:xfrm>
              <a:off x="9468752" y="4350694"/>
              <a:ext cx="7933984" cy="6510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𝐹</m:t>
                    </m:r>
                    <m:sSub>
                      <m:sSubPr>
                        <m:ctrlPr>
                          <a:rPr lang="es-PE" sz="1400" b="0" i="1">
                            <a:latin typeface="Cambria Math"/>
                            <a:ea typeface="Cambria Math" pitchFamily="18" charset="0"/>
                          </a:rPr>
                        </m:ctrlPr>
                      </m:sSubPr>
                      <m:e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𝐴</m:t>
                        </m:r>
                      </m:e>
                      <m:sub>
                        <m:r>
                          <a:rPr lang="es-PE" sz="1400" b="0" i="1">
                            <a:latin typeface="Cambria Math" pitchFamily="18" charset="0"/>
                            <a:ea typeface="Cambria Math" pitchFamily="18" charset="0"/>
                          </a:rPr>
                          <m:t>𝑃𝑁𝐺</m:t>
                        </m:r>
                      </m:sub>
                    </m:sSub>
                    <m:r>
                      <a:rPr lang="es-PE" sz="1400" i="1">
                        <a:latin typeface="Cambria Math" pitchFamily="18" charset="0"/>
                        <a:ea typeface="Cambria Math" pitchFamily="18" charset="0"/>
                      </a:rPr>
                      <m:t>=</m:t>
                    </m:r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0.49</m:t>
                    </m:r>
                    <m:d>
                      <m:dPr>
                        <m:begChr m:val="["/>
                        <m:endChr m:val="]"/>
                        <m:ctrlPr>
                          <a:rPr lang="es-PE" sz="1400" i="1">
                            <a:latin typeface="Cambria Math"/>
                            <a:ea typeface="Cambria Math" pitchFamily="18" charset="0"/>
                          </a:rPr>
                        </m:ctrlPr>
                      </m:dPr>
                      <m:e>
                        <m:d>
                          <m:dPr>
                            <m:ctrlPr>
                              <a:rPr lang="es-PE" sz="1400" i="1">
                                <a:latin typeface="Cambria Math"/>
                                <a:ea typeface="Cambria Math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PE" sz="1400" i="1">
                                    <a:latin typeface="Cambria Math"/>
                                    <a:ea typeface="Cambria Math" pitchFamily="18" charset="0"/>
                                  </a:rPr>
                                </m:ctrlPr>
                              </m:fPr>
                              <m:num>
                                <m:f>
                                  <m:fPr>
                                    <m:ctrlPr>
                                      <a:rPr lang="es-PE" sz="1400" i="1">
                                        <a:latin typeface="Cambria Math"/>
                                        <a:ea typeface="Cambria Math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s-PE" sz="1400" b="0" i="1">
                                        <a:latin typeface="Cambria Math" pitchFamily="18" charset="0"/>
                                        <a:ea typeface="Cambria Math" pitchFamily="18" charset="0"/>
                                      </a:rPr>
                                      <m:t>𝑃𝑃𝑀</m:t>
                                    </m:r>
                                  </m:num>
                                  <m:den>
                                    <m:r>
                                      <a:rPr lang="es-PE" sz="1400" b="0" i="1">
                                        <a:latin typeface="Cambria Math" pitchFamily="18" charset="0"/>
                                        <a:ea typeface="Cambria Math" pitchFamily="18" charset="0"/>
                                      </a:rPr>
                                      <m:t>7.2×0.8</m:t>
                                    </m:r>
                                  </m:den>
                                </m:f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+0.2 </m:t>
                                </m:r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𝑃𝐸𝑀𝑃</m:t>
                                </m:r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+0.8 </m:t>
                                </m:r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𝑃𝐸𝑀𝐹</m:t>
                                </m:r>
                              </m:num>
                              <m:den>
                                <m:r>
                                  <a:rPr lang="es-PE" sz="1400" b="0" i="1">
                                    <a:latin typeface="Cambria Math" pitchFamily="18" charset="0"/>
                                    <a:ea typeface="Cambria Math" pitchFamily="18" charset="0"/>
                                  </a:rPr>
                                  <m:t>13.7</m:t>
                                </m:r>
                                <m:r>
                                  <a:rPr lang="es-PE" sz="1400" b="0" i="1">
                                    <a:latin typeface="Cambria Math"/>
                                    <a:ea typeface="Cambria Math" pitchFamily="18" charset="0"/>
                                  </a:rPr>
                                  <m:t>4</m:t>
                                </m:r>
                              </m:den>
                            </m:f>
                          </m:e>
                        </m:d>
                      </m:e>
                    </m:d>
                    <m:r>
                      <a:rPr lang="es-PE" sz="1400" b="0" i="1">
                        <a:latin typeface="Cambria Math" pitchFamily="18" charset="0"/>
                        <a:ea typeface="Cambria Math" pitchFamily="18" charset="0"/>
                      </a:rPr>
                      <m:t>+0.51</m:t>
                    </m:r>
                    <m:d>
                      <m:dPr>
                        <m:begChr m:val="["/>
                        <m:endChr m:val="]"/>
                        <m:ctrlPr>
                          <a:rPr lang="es-PE" sz="14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 pitchFamily="18" charset="0"/>
                            <a:cs typeface="+mn-cs"/>
                          </a:rPr>
                        </m:ctrlPr>
                      </m:dPr>
                      <m:e>
                        <m:d>
                          <m:dPr>
                            <m:ctrlPr>
                              <a:rPr lang="es-PE" sz="140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 pitchFamily="18" charset="0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PE" sz="14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</m:ctrlPr>
                              </m:fPr>
                              <m:num>
                                <m:f>
                                  <m:fPr>
                                    <m:ctrlPr>
                                      <a:rPr lang="es-PE" sz="14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𝑃𝑃</m:t>
                                    </m:r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Cambria Math" pitchFamily="18" charset="0"/>
                                        <a:cs typeface="+mn-cs"/>
                                      </a:rPr>
                                      <m:t>𝐿</m:t>
                                    </m:r>
                                  </m:num>
                                  <m:den>
                                    <m:r>
                                      <a:rPr lang="es-P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itchFamily="18" charset="0"/>
                                        <a:ea typeface="Cambria Math" pitchFamily="18" charset="0"/>
                                        <a:cs typeface="+mn-cs"/>
                                      </a:rPr>
                                      <m:t>7.2×0.8</m:t>
                                    </m:r>
                                  </m:den>
                                </m:f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+0.2 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𝑃𝐸𝐿𝑃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+0.8 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𝑃𝐸𝐿𝐹</m:t>
                                </m:r>
                              </m:num>
                              <m:den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itchFamily="18" charset="0"/>
                                    <a:ea typeface="Cambria Math" pitchFamily="18" charset="0"/>
                                    <a:cs typeface="+mn-cs"/>
                                  </a:rPr>
                                  <m:t>1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 pitchFamily="18" charset="0"/>
                                    <a:cs typeface="+mn-cs"/>
                                  </a:rPr>
                                  <m:t>5.47</m:t>
                                </m:r>
                              </m:den>
                            </m:f>
                          </m:e>
                        </m:d>
                      </m:e>
                    </m:d>
                  </m:oMath>
                </m:oMathPara>
              </a14:m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Choice>
      <mc:Fallback xmlns="">
        <xdr:sp macro="" textlink="">
          <xdr:nvSpPr>
            <xdr:cNvPr id="16" name="15 CuadroTexto"/>
            <xdr:cNvSpPr txBox="1"/>
          </xdr:nvSpPr>
          <xdr:spPr>
            <a:xfrm>
              <a:off x="9468752" y="4350694"/>
              <a:ext cx="7933984" cy="6510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𝐹𝐴_𝑃𝑁𝐺</a:t>
              </a:r>
              <a:r>
                <a:rPr lang="es-PE" sz="1400" i="0">
                  <a:latin typeface="Cambria Math" pitchFamily="18" charset="0"/>
                  <a:ea typeface="Cambria Math" pitchFamily="18" charset="0"/>
                </a:rPr>
                <a:t>=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0.49</a:t>
              </a:r>
              <a:r>
                <a:rPr lang="es-PE" sz="1400" i="0">
                  <a:latin typeface="Cambria Math" pitchFamily="18" charset="0"/>
                  <a:ea typeface="Cambria Math" pitchFamily="18" charset="0"/>
                </a:rPr>
                <a:t>[((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𝑃𝑃𝑀/(7.2×0.8)+0.2 𝑃𝐸𝑀𝑃+0.8 𝑃𝐸𝑀𝐹)/13.7</a:t>
              </a:r>
              <a:r>
                <a:rPr lang="es-PE" sz="1400" b="0" i="0">
                  <a:latin typeface="Cambria Math"/>
                  <a:ea typeface="Cambria Math" pitchFamily="18" charset="0"/>
                </a:rPr>
                <a:t>4</a:t>
              </a:r>
              <a:r>
                <a:rPr lang="es-PE" sz="1400" b="0" i="0">
                  <a:latin typeface="Cambria Math" pitchFamily="18" charset="0"/>
                  <a:ea typeface="Cambria Math" pitchFamily="18" charset="0"/>
                </a:rPr>
                <a:t>)]+0.51</a:t>
              </a:r>
              <a:r>
                <a:rPr lang="es-PE" sz="140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[((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𝑃𝑃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 pitchFamily="18" charset="0"/>
                  <a:cs typeface="+mn-cs"/>
                </a:rPr>
                <a:t>𝐿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/(7.2×0.8)+0.2 𝑃𝐸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 pitchFamily="18" charset="0"/>
                  <a:cs typeface="+mn-cs"/>
                </a:rPr>
                <a:t>𝐿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𝑃+0.8 𝑃𝐸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 pitchFamily="18" charset="0"/>
                  <a:cs typeface="+mn-cs"/>
                </a:rPr>
                <a:t>𝐿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𝐹)/1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 pitchFamily="18" charset="0"/>
                  <a:cs typeface="+mn-cs"/>
                </a:rPr>
                <a:t>5.47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 pitchFamily="18" charset="0"/>
                  <a:ea typeface="Cambria Math" pitchFamily="18" charset="0"/>
                  <a:cs typeface="+mn-cs"/>
                </a:rPr>
                <a:t>)]</a:t>
              </a:r>
              <a:endParaRPr lang="es-PE" sz="1400">
                <a:latin typeface="Cambria Math" pitchFamily="18" charset="0"/>
                <a:ea typeface="Cambria Math" pitchFamily="18" charset="0"/>
              </a:endParaRPr>
            </a:p>
          </xdr:txBody>
        </xdr:sp>
      </mc:Fallback>
    </mc:AlternateContent>
    <xdr:clientData/>
  </xdr:oneCellAnchor>
  <xdr:oneCellAnchor>
    <xdr:from>
      <xdr:col>6</xdr:col>
      <xdr:colOff>179073</xdr:colOff>
      <xdr:row>98</xdr:row>
      <xdr:rowOff>159694</xdr:rowOff>
    </xdr:from>
    <xdr:ext cx="8639956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16 CuadroTexto"/>
            <xdr:cNvSpPr txBox="1"/>
          </xdr:nvSpPr>
          <xdr:spPr>
            <a:xfrm>
              <a:off x="9513573" y="20554400"/>
              <a:ext cx="863995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𝐹𝐴𝑉𝐵𝑇</m:t>
                    </m:r>
                    <m:r>
                      <a:rPr lang="es-PE" sz="1400" i="1">
                        <a:latin typeface="Cambria Math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𝐴𝐵𝑇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𝐵𝐵𝑇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  <a:ea typeface="Cambria Math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𝑇𝐴𝐵𝑇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𝑇𝐴𝐵𝑇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𝐶𝐵𝑇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𝐷𝐵𝑇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17" name="16 CuadroTexto"/>
            <xdr:cNvSpPr txBox="1"/>
          </xdr:nvSpPr>
          <xdr:spPr>
            <a:xfrm>
              <a:off x="9513573" y="20554400"/>
              <a:ext cx="863995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𝐹𝐴𝑉𝐵𝑇</a:t>
              </a:r>
              <a:r>
                <a:rPr lang="es-PE" sz="1400" i="0">
                  <a:latin typeface="Cambria Math"/>
                </a:rPr>
                <a:t>=(</a:t>
              </a:r>
              <a:r>
                <a:rPr lang="es-PE" sz="1400" b="0" i="0">
                  <a:latin typeface="Cambria Math"/>
                </a:rPr>
                <a:t>𝐴𝐵𝑇 𝐼𝑃𝑀/〖𝐼𝑃𝑀〗_0 +𝐵𝐵𝑇 𝑇𝐶/〖𝑇𝐶〗_0 </a:t>
              </a:r>
              <a:r>
                <a:rPr lang="es-PE" sz="1400" b="0" i="0">
                  <a:latin typeface="Cambria Math"/>
                  <a:ea typeface="Cambria Math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(1+𝑇𝐴𝐵𝑇)/〖1+𝑇𝐴𝐵𝑇〗_0 +𝐶𝐵𝑇 𝐼𝑃𝐶𝑢/〖𝐼𝑃𝐶𝑢〗_0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(1+𝑇𝐴𝐶𝑢)/〖1+𝑇𝐴𝐶𝑢〗_0 +𝐷𝐵𝑇 𝐼𝑃𝐴𝑙/〖𝐼𝑃𝐴𝑙〗_0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(1+𝑇𝐴𝐴𝑙)/〖1+𝑇𝐴𝐴𝑙〗_0 )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123042</xdr:colOff>
      <xdr:row>109</xdr:row>
      <xdr:rowOff>226929</xdr:rowOff>
    </xdr:from>
    <xdr:ext cx="9626076" cy="5763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17 CuadroTexto"/>
            <xdr:cNvSpPr txBox="1"/>
          </xdr:nvSpPr>
          <xdr:spPr>
            <a:xfrm>
              <a:off x="9457542" y="23098135"/>
              <a:ext cx="962607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𝐹𝐴𝑉𝑆𝐸𝐷</m:t>
                    </m:r>
                    <m:r>
                      <a:rPr lang="es-PE" sz="1400" i="1">
                        <a:latin typeface="Cambria Math"/>
                      </a:rPr>
                      <m:t>=</m:t>
                    </m:r>
                    <m:d>
                      <m:dPr>
                        <m:ctrlPr>
                          <a:rPr lang="es-PE" sz="1400" i="1">
                            <a:latin typeface="Cambria Math"/>
                          </a:rPr>
                        </m:ctrlPr>
                      </m:dPr>
                      <m:e>
                        <m:r>
                          <a:rPr lang="es-PE" sz="1400" b="0" i="1">
                            <a:latin typeface="Cambria Math"/>
                          </a:rPr>
                          <m:t>𝐴𝑆𝐸𝐷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𝐼𝑃𝑀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𝐼𝑃𝑀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</a:rPr>
                          <m:t>+</m:t>
                        </m:r>
                        <m:r>
                          <a:rPr lang="es-PE" sz="1400" b="0" i="1">
                            <a:latin typeface="Cambria Math"/>
                          </a:rPr>
                          <m:t>𝐵𝑆𝐸𝐷</m:t>
                        </m:r>
                        <m:f>
                          <m:fPr>
                            <m:ctrlPr>
                              <a:rPr lang="es-PE" sz="1400" b="0" i="1"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latin typeface="Cambria Math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latin typeface="Cambria Math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latin typeface="Cambria Math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latin typeface="Cambria Math"/>
                            <a:ea typeface="Cambria Math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𝑇𝐴𝑆𝐸𝐷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𝑇𝐴𝑆𝐸𝐷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𝐶𝑆𝐸𝐷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𝑇𝐴𝐶𝑢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𝑇𝐴𝐶𝑢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𝐷𝑆𝐸𝐷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𝐼𝑃𝐴𝑙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𝐼𝑃𝐴𝑙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𝑇𝐶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𝑇𝐶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  <m:r>
                          <a:rPr lang="es-PE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Cambria Math"/>
                            <a:cs typeface="+mn-cs"/>
                          </a:rPr>
                          <m:t>∙</m:t>
                        </m:r>
                        <m:f>
                          <m:fPr>
                            <m:ctrlP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es-P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𝑇𝐴𝐴𝑙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1+</m:t>
                                </m:r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𝑇𝐴𝐴𝑙</m:t>
                                </m:r>
                              </m:e>
                              <m:sub>
                                <m:r>
                                  <a:rPr lang="es-P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den>
                        </m:f>
                      </m:e>
                    </m:d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18" name="17 CuadroTexto"/>
            <xdr:cNvSpPr txBox="1"/>
          </xdr:nvSpPr>
          <xdr:spPr>
            <a:xfrm>
              <a:off x="9457542" y="23098135"/>
              <a:ext cx="9626076" cy="5763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𝐹𝐴𝑉𝑆𝐸𝐷</a:t>
              </a:r>
              <a:r>
                <a:rPr lang="es-PE" sz="1400" i="0">
                  <a:latin typeface="Cambria Math"/>
                </a:rPr>
                <a:t>=(</a:t>
              </a:r>
              <a:r>
                <a:rPr lang="es-PE" sz="1400" b="0" i="0">
                  <a:latin typeface="Cambria Math"/>
                </a:rPr>
                <a:t>𝐴𝑆𝐸𝐷 𝐼𝑃𝑀/〖𝐼𝑃𝑀〗_0 +𝐵𝑆𝐸𝐷 𝑇𝐶/〖𝑇𝐶〗_0 </a:t>
              </a:r>
              <a:r>
                <a:rPr lang="es-PE" sz="1400" b="0" i="0">
                  <a:latin typeface="Cambria Math"/>
                  <a:ea typeface="Cambria Math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(1+𝑇𝐴𝑆𝐸𝐷)/〖1+𝑇𝐴𝑆𝐸𝐷〗_0 +𝐶𝑆𝐸𝐷 𝐼𝑃𝐶𝑢/〖𝐼𝑃𝐶𝑢〗_0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(1+𝑇𝐴𝐶𝑢)/〖1+𝑇𝐴𝐶𝑢〗_0 +𝐷𝑆𝐸𝐷 𝐼𝑃𝐴𝑙/〖𝐼𝑃𝐴𝑙〗_0   𝑇𝐶/〖𝑇𝐶〗_0 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∙</a:t>
              </a:r>
              <a:r>
                <a:rPr lang="es-PE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(1+𝑇𝐴𝐴𝑙)/〖1+𝑇𝐴𝐴𝑙〗_0 )</a:t>
              </a:r>
              <a:endParaRPr lang="es-PE" sz="1400"/>
            </a:p>
          </xdr:txBody>
        </xdr:sp>
      </mc:Fallback>
    </mc:AlternateContent>
    <xdr:clientData/>
  </xdr:oneCellAnchor>
  <xdr:oneCellAnchor>
    <xdr:from>
      <xdr:col>6</xdr:col>
      <xdr:colOff>223899</xdr:colOff>
      <xdr:row>82</xdr:row>
      <xdr:rowOff>294164</xdr:rowOff>
    </xdr:from>
    <xdr:ext cx="3664543" cy="3114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18 CuadroTexto"/>
            <xdr:cNvSpPr txBox="1"/>
          </xdr:nvSpPr>
          <xdr:spPr>
            <a:xfrm>
              <a:off x="9558399" y="18671811"/>
              <a:ext cx="366454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PE" sz="1400" b="0" i="1">
                        <a:latin typeface="Cambria Math"/>
                      </a:rPr>
                      <m:t>𝐹</m:t>
                    </m:r>
                    <m:sSub>
                      <m:sSubPr>
                        <m:ctrlPr>
                          <a:rPr lang="es-PE" sz="14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s-PE" sz="14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es-PE" sz="1400" b="0" i="1">
                            <a:latin typeface="Cambria Math"/>
                          </a:rPr>
                          <m:t>𝑃𝑈𝐶</m:t>
                        </m:r>
                      </m:sub>
                    </m:sSub>
                    <m:r>
                      <a:rPr lang="es-PE" sz="1400" i="1">
                        <a:latin typeface="Cambria Math"/>
                      </a:rPr>
                      <m:t>=</m:t>
                    </m:r>
                    <m:r>
                      <a:rPr lang="es-PE" sz="1400" b="0" i="1">
                        <a:latin typeface="Cambria Math"/>
                      </a:rPr>
                      <m:t>𝐹𝐴</m:t>
                    </m:r>
                    <m:r>
                      <a:rPr lang="es-PE" sz="1400" b="0" i="1">
                        <a:latin typeface="Cambria Math"/>
                      </a:rPr>
                      <m:t> </m:t>
                    </m:r>
                    <m:r>
                      <a:rPr lang="es-PE" sz="1400" b="0" i="1">
                        <a:latin typeface="Cambria Math"/>
                      </a:rPr>
                      <m:t>𝑑𝑎𝑑𝑜</m:t>
                    </m:r>
                    <m:r>
                      <a:rPr lang="es-PE" sz="1400" b="0" i="1">
                        <a:latin typeface="Cambria Math"/>
                      </a:rPr>
                      <m:t> </m:t>
                    </m:r>
                    <m:r>
                      <a:rPr lang="es-PE" sz="1400" b="0" i="1">
                        <a:latin typeface="Cambria Math"/>
                      </a:rPr>
                      <m:t>𝑝𝑜𝑟</m:t>
                    </m:r>
                    <m:r>
                      <a:rPr lang="es-PE" sz="1400" b="0" i="1">
                        <a:latin typeface="Cambria Math"/>
                      </a:rPr>
                      <m:t> </m:t>
                    </m:r>
                    <m:r>
                      <a:rPr lang="es-PE" sz="1400" b="0" i="1">
                        <a:latin typeface="Cambria Math"/>
                      </a:rPr>
                      <m:t>𝑅𝑒𝑠𝑜𝑙𝑢𝑐𝑖</m:t>
                    </m:r>
                    <m:r>
                      <a:rPr lang="es-PE" sz="1400" b="0" i="1">
                        <a:latin typeface="Cambria Math"/>
                      </a:rPr>
                      <m:t>ó</m:t>
                    </m:r>
                    <m:r>
                      <a:rPr lang="es-PE" sz="1400" b="0" i="1">
                        <a:latin typeface="Cambria Math"/>
                      </a:rPr>
                      <m:t>𝑛</m:t>
                    </m:r>
                  </m:oMath>
                </m:oMathPara>
              </a14:m>
              <a:endParaRPr lang="es-PE" sz="1400"/>
            </a:p>
          </xdr:txBody>
        </xdr:sp>
      </mc:Choice>
      <mc:Fallback xmlns="">
        <xdr:sp macro="" textlink="">
          <xdr:nvSpPr>
            <xdr:cNvPr id="19" name="18 CuadroTexto"/>
            <xdr:cNvSpPr txBox="1"/>
          </xdr:nvSpPr>
          <xdr:spPr>
            <a:xfrm>
              <a:off x="9558399" y="18671811"/>
              <a:ext cx="3664543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s-PE" sz="1400" b="0" i="0">
                  <a:latin typeface="Cambria Math"/>
                </a:rPr>
                <a:t>𝐹𝐴_𝑃𝑈𝐶</a:t>
              </a:r>
              <a:r>
                <a:rPr lang="es-PE" sz="1400" i="0">
                  <a:latin typeface="Cambria Math"/>
                </a:rPr>
                <a:t>=</a:t>
              </a:r>
              <a:r>
                <a:rPr lang="es-PE" sz="1400" b="0" i="0">
                  <a:latin typeface="Cambria Math"/>
                </a:rPr>
                <a:t>𝐹𝐴 𝑑𝑎𝑑𝑜 𝑝𝑜𝑟 𝑅𝑒𝑠𝑜𝑙𝑢𝑐𝑖ó𝑛</a:t>
              </a:r>
              <a:endParaRPr lang="es-PE" sz="14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225425</xdr:colOff>
      <xdr:row>142</xdr:row>
      <xdr:rowOff>120650</xdr:rowOff>
    </xdr:from>
    <xdr:to>
      <xdr:col>10</xdr:col>
      <xdr:colOff>1031876</xdr:colOff>
      <xdr:row>163</xdr:row>
      <xdr:rowOff>48260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2300" y="30172025"/>
          <a:ext cx="4918076" cy="3928110"/>
        </a:xfrm>
        <a:prstGeom prst="rect">
          <a:avLst/>
        </a:prstGeom>
      </xdr:spPr>
    </xdr:pic>
    <xdr:clientData/>
  </xdr:twoCellAnchor>
  <xdr:twoCellAnchor editAs="oneCell">
    <xdr:from>
      <xdr:col>6</xdr:col>
      <xdr:colOff>193674</xdr:colOff>
      <xdr:row>168</xdr:row>
      <xdr:rowOff>114300</xdr:rowOff>
    </xdr:from>
    <xdr:to>
      <xdr:col>10</xdr:col>
      <xdr:colOff>1143000</xdr:colOff>
      <xdr:row>189</xdr:row>
      <xdr:rowOff>64770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0549" y="35134550"/>
          <a:ext cx="5060951" cy="395097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14</xdr:row>
      <xdr:rowOff>127000</xdr:rowOff>
    </xdr:from>
    <xdr:to>
      <xdr:col>7</xdr:col>
      <xdr:colOff>1304925</xdr:colOff>
      <xdr:row>65</xdr:row>
      <xdr:rowOff>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3498850"/>
          <a:ext cx="8753475" cy="10055225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72</xdr:row>
      <xdr:rowOff>142875</xdr:rowOff>
    </xdr:from>
    <xdr:to>
      <xdr:col>7</xdr:col>
      <xdr:colOff>1403350</xdr:colOff>
      <xdr:row>91</xdr:row>
      <xdr:rowOff>12065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9250" y="15430500"/>
          <a:ext cx="8724900" cy="371094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98</xdr:row>
      <xdr:rowOff>114300</xdr:rowOff>
    </xdr:from>
    <xdr:to>
      <xdr:col>9</xdr:col>
      <xdr:colOff>1002030</xdr:colOff>
      <xdr:row>130</xdr:row>
      <xdr:rowOff>15240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7350" y="20383500"/>
          <a:ext cx="8679180" cy="599694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142</xdr:row>
      <xdr:rowOff>85725</xdr:rowOff>
    </xdr:from>
    <xdr:to>
      <xdr:col>4</xdr:col>
      <xdr:colOff>1122045</xdr:colOff>
      <xdr:row>163</xdr:row>
      <xdr:rowOff>146685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4325" y="28822650"/>
          <a:ext cx="4770120" cy="406146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168</xdr:row>
      <xdr:rowOff>85725</xdr:rowOff>
    </xdr:from>
    <xdr:to>
      <xdr:col>4</xdr:col>
      <xdr:colOff>1112520</xdr:colOff>
      <xdr:row>188</xdr:row>
      <xdr:rowOff>177165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6700" y="33785175"/>
          <a:ext cx="4808220" cy="3901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21</xdr:row>
      <xdr:rowOff>142875</xdr:rowOff>
    </xdr:from>
    <xdr:to>
      <xdr:col>11</xdr:col>
      <xdr:colOff>579120</xdr:colOff>
      <xdr:row>54</xdr:row>
      <xdr:rowOff>5715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791325"/>
          <a:ext cx="12123420" cy="614934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61</xdr:row>
      <xdr:rowOff>142875</xdr:rowOff>
    </xdr:from>
    <xdr:to>
      <xdr:col>12</xdr:col>
      <xdr:colOff>7620</xdr:colOff>
      <xdr:row>94</xdr:row>
      <xdr:rowOff>142875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4897100"/>
          <a:ext cx="12504420" cy="6286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102</xdr:row>
      <xdr:rowOff>133350</xdr:rowOff>
    </xdr:from>
    <xdr:to>
      <xdr:col>11</xdr:col>
      <xdr:colOff>897255</xdr:colOff>
      <xdr:row>141</xdr:row>
      <xdr:rowOff>11430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23164800"/>
          <a:ext cx="12451080" cy="730758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151</xdr:row>
      <xdr:rowOff>161925</xdr:rowOff>
    </xdr:from>
    <xdr:to>
      <xdr:col>11</xdr:col>
      <xdr:colOff>773430</xdr:colOff>
      <xdr:row>190</xdr:row>
      <xdr:rowOff>40005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975" y="33804225"/>
          <a:ext cx="12336780" cy="730758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199</xdr:row>
      <xdr:rowOff>161925</xdr:rowOff>
    </xdr:from>
    <xdr:to>
      <xdr:col>11</xdr:col>
      <xdr:colOff>758190</xdr:colOff>
      <xdr:row>238</xdr:row>
      <xdr:rowOff>47625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2875" y="42957750"/>
          <a:ext cx="12359640" cy="73152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245</xdr:row>
      <xdr:rowOff>142875</xdr:rowOff>
    </xdr:from>
    <xdr:to>
      <xdr:col>11</xdr:col>
      <xdr:colOff>845820</xdr:colOff>
      <xdr:row>287</xdr:row>
      <xdr:rowOff>120015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1925" y="52111275"/>
          <a:ext cx="12428220" cy="797814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295</xdr:row>
      <xdr:rowOff>142875</xdr:rowOff>
    </xdr:from>
    <xdr:to>
      <xdr:col>11</xdr:col>
      <xdr:colOff>908685</xdr:colOff>
      <xdr:row>338</xdr:row>
      <xdr:rowOff>142875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1450" y="62045850"/>
          <a:ext cx="12481560" cy="81915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346</xdr:row>
      <xdr:rowOff>142875</xdr:rowOff>
    </xdr:from>
    <xdr:to>
      <xdr:col>11</xdr:col>
      <xdr:colOff>885825</xdr:colOff>
      <xdr:row>389</xdr:row>
      <xdr:rowOff>51435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9550" y="72170925"/>
          <a:ext cx="12420600" cy="81000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4</xdr:row>
      <xdr:rowOff>135269</xdr:rowOff>
    </xdr:from>
    <xdr:to>
      <xdr:col>11</xdr:col>
      <xdr:colOff>856586</xdr:colOff>
      <xdr:row>21</xdr:row>
      <xdr:rowOff>52835</xdr:rowOff>
    </xdr:to>
    <xdr:pic>
      <xdr:nvPicPr>
        <xdr:cNvPr id="720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2469"/>
          <a:ext cx="5876261" cy="3765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41</xdr:row>
      <xdr:rowOff>123825</xdr:rowOff>
    </xdr:from>
    <xdr:to>
      <xdr:col>11</xdr:col>
      <xdr:colOff>994327</xdr:colOff>
      <xdr:row>57</xdr:row>
      <xdr:rowOff>139700</xdr:rowOff>
    </xdr:to>
    <xdr:pic>
      <xdr:nvPicPr>
        <xdr:cNvPr id="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897850"/>
          <a:ext cx="6185452" cy="4130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92075</xdr:colOff>
      <xdr:row>61</xdr:row>
      <xdr:rowOff>16376</xdr:rowOff>
    </xdr:from>
    <xdr:to>
      <xdr:col>5</xdr:col>
      <xdr:colOff>714375</xdr:colOff>
      <xdr:row>77</xdr:row>
      <xdr:rowOff>9525</xdr:rowOff>
    </xdr:to>
    <xdr:pic>
      <xdr:nvPicPr>
        <xdr:cNvPr id="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" y="14599151"/>
          <a:ext cx="5946775" cy="4107949"/>
        </a:xfrm>
        <a:prstGeom prst="rect">
          <a:avLst/>
        </a:prstGeom>
        <a:noFill/>
        <a:ln>
          <a:noFill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158750</xdr:colOff>
      <xdr:row>61</xdr:row>
      <xdr:rowOff>14213</xdr:rowOff>
    </xdr:from>
    <xdr:to>
      <xdr:col>11</xdr:col>
      <xdr:colOff>600076</xdr:colOff>
      <xdr:row>76</xdr:row>
      <xdr:rowOff>238125</xdr:rowOff>
    </xdr:to>
    <xdr:pic>
      <xdr:nvPicPr>
        <xdr:cNvPr id="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875" y="14596988"/>
          <a:ext cx="5737226" cy="408153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180975</xdr:colOff>
      <xdr:row>79</xdr:row>
      <xdr:rowOff>120650</xdr:rowOff>
    </xdr:from>
    <xdr:to>
      <xdr:col>5</xdr:col>
      <xdr:colOff>647700</xdr:colOff>
      <xdr:row>95</xdr:row>
      <xdr:rowOff>133453</xdr:rowOff>
    </xdr:to>
    <xdr:pic>
      <xdr:nvPicPr>
        <xdr:cNvPr id="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246850"/>
          <a:ext cx="5791200" cy="412760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95251</xdr:colOff>
      <xdr:row>23</xdr:row>
      <xdr:rowOff>79869</xdr:rowOff>
    </xdr:from>
    <xdr:to>
      <xdr:col>5</xdr:col>
      <xdr:colOff>790575</xdr:colOff>
      <xdr:row>39</xdr:row>
      <xdr:rowOff>82550</xdr:rowOff>
    </xdr:to>
    <xdr:pic>
      <xdr:nvPicPr>
        <xdr:cNvPr id="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9662019"/>
          <a:ext cx="6019799" cy="412700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244476</xdr:colOff>
      <xdr:row>23</xdr:row>
      <xdr:rowOff>66676</xdr:rowOff>
    </xdr:from>
    <xdr:to>
      <xdr:col>11</xdr:col>
      <xdr:colOff>914400</xdr:colOff>
      <xdr:row>39</xdr:row>
      <xdr:rowOff>38101</xdr:rowOff>
    </xdr:to>
    <xdr:pic>
      <xdr:nvPicPr>
        <xdr:cNvPr id="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3351" y="5314951"/>
          <a:ext cx="5965824" cy="409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117474</xdr:colOff>
      <xdr:row>42</xdr:row>
      <xdr:rowOff>38100</xdr:rowOff>
    </xdr:from>
    <xdr:to>
      <xdr:col>5</xdr:col>
      <xdr:colOff>666750</xdr:colOff>
      <xdr:row>58</xdr:row>
      <xdr:rowOff>123825</xdr:rowOff>
    </xdr:to>
    <xdr:pic>
      <xdr:nvPicPr>
        <xdr:cNvPr id="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7449" y="16106775"/>
          <a:ext cx="5873751" cy="420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88900</xdr:colOff>
      <xdr:row>79</xdr:row>
      <xdr:rowOff>88901</xdr:rowOff>
    </xdr:from>
    <xdr:to>
      <xdr:col>11</xdr:col>
      <xdr:colOff>914400</xdr:colOff>
      <xdr:row>95</xdr:row>
      <xdr:rowOff>190501</xdr:rowOff>
    </xdr:to>
    <xdr:pic>
      <xdr:nvPicPr>
        <xdr:cNvPr id="10" name="1 Imagen"/>
        <xdr:cNvPicPr>
          <a:picLocks noChangeAspect="1"/>
        </xdr:cNvPicPr>
      </xdr:nvPicPr>
      <xdr:blipFill>
        <a:blip xmlns:r="http://schemas.openxmlformats.org/officeDocument/2006/relationships" r:embed="rId9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30273626"/>
          <a:ext cx="6121400" cy="421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92076</xdr:colOff>
      <xdr:row>97</xdr:row>
      <xdr:rowOff>66675</xdr:rowOff>
    </xdr:from>
    <xdr:to>
      <xdr:col>5</xdr:col>
      <xdr:colOff>600075</xdr:colOff>
      <xdr:row>113</xdr:row>
      <xdr:rowOff>190500</xdr:rowOff>
    </xdr:to>
    <xdr:pic>
      <xdr:nvPicPr>
        <xdr:cNvPr id="11" name="2 Imagen"/>
        <xdr:cNvPicPr>
          <a:picLocks noChangeAspect="1"/>
        </xdr:cNvPicPr>
      </xdr:nvPicPr>
      <xdr:blipFill>
        <a:blip xmlns:r="http://schemas.openxmlformats.org/officeDocument/2006/relationships" r:embed="rId10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2051" y="30251400"/>
          <a:ext cx="5832474" cy="423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</xdr:colOff>
      <xdr:row>97</xdr:row>
      <xdr:rowOff>85725</xdr:rowOff>
    </xdr:from>
    <xdr:to>
      <xdr:col>11</xdr:col>
      <xdr:colOff>878205</xdr:colOff>
      <xdr:row>113</xdr:row>
      <xdr:rowOff>207645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1">
          <a:grayscl/>
        </a:blip>
        <a:stretch>
          <a:fillRect/>
        </a:stretch>
      </xdr:blipFill>
      <xdr:spPr>
        <a:xfrm>
          <a:off x="6134100" y="23926800"/>
          <a:ext cx="6088380" cy="423672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1476376</xdr:colOff>
      <xdr:row>15</xdr:row>
      <xdr:rowOff>127000</xdr:rowOff>
    </xdr:from>
    <xdr:to>
      <xdr:col>3</xdr:col>
      <xdr:colOff>396875</xdr:colOff>
      <xdr:row>36</xdr:row>
      <xdr:rowOff>158750</xdr:rowOff>
    </xdr:to>
    <xdr:cxnSp macro="">
      <xdr:nvCxnSpPr>
        <xdr:cNvPr id="15419" name="3 Conector recto de flecha"/>
        <xdr:cNvCxnSpPr>
          <a:cxnSpLocks noChangeShapeType="1"/>
        </xdr:cNvCxnSpPr>
      </xdr:nvCxnSpPr>
      <xdr:spPr bwMode="auto">
        <a:xfrm flipH="1">
          <a:off x="4699001" y="3222625"/>
          <a:ext cx="2270124" cy="4556125"/>
        </a:xfrm>
        <a:prstGeom prst="straightConnector1">
          <a:avLst/>
        </a:prstGeom>
        <a:noFill/>
        <a:ln w="9525" algn="ctr">
          <a:solidFill>
            <a:sysClr val="windowText" lastClr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 fPrintsWithSheet="0"/>
  </xdr:twoCellAnchor>
  <xdr:twoCellAnchor editAs="oneCell">
    <xdr:from>
      <xdr:col>2</xdr:col>
      <xdr:colOff>117475</xdr:colOff>
      <xdr:row>39</xdr:row>
      <xdr:rowOff>117475</xdr:rowOff>
    </xdr:from>
    <xdr:to>
      <xdr:col>4</xdr:col>
      <xdr:colOff>1662430</xdr:colOff>
      <xdr:row>60</xdr:row>
      <xdr:rowOff>83185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8050" y="8975725"/>
          <a:ext cx="4345305" cy="396621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39</xdr:row>
      <xdr:rowOff>152400</xdr:rowOff>
    </xdr:from>
    <xdr:to>
      <xdr:col>1</xdr:col>
      <xdr:colOff>2202180</xdr:colOff>
      <xdr:row>60</xdr:row>
      <xdr:rowOff>99060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9010650"/>
          <a:ext cx="4221480" cy="39471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2196</xdr:colOff>
      <xdr:row>132</xdr:row>
      <xdr:rowOff>21168</xdr:rowOff>
    </xdr:from>
    <xdr:ext cx="17895279" cy="73024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2 CuadroTexto"/>
            <xdr:cNvSpPr txBox="1"/>
          </xdr:nvSpPr>
          <xdr:spPr>
            <a:xfrm>
              <a:off x="2196" y="22385868"/>
              <a:ext cx="17895279" cy="730249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𝑃𝐵𝑎𝑟𝑟𝑎𝑆𝐸𝐼𝑁</m:t>
                        </m:r>
                      </m:sup>
                    </m:sSubSup>
                    <m:r>
                      <a:rPr lang="es-PE" sz="140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𝑅𝑒𝑑𝑜𝑛𝑑𝑒𝑎𝑟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𝑃𝐵𝑎𝑟𝑟𝑎𝑆𝐸𝐼𝑁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.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𝐹𝑎𝑐𝑡𝑜𝑟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𝑃𝑃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_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𝑃𝐵𝑎𝑟𝑟𝑎𝑆𝐸𝐼𝑁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,2)+</m:t>
                    </m:r>
                    <m:sSub>
                      <m:sSub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𝑃𝐶𝑆𝑃𝑇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𝑃𝐸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𝑃𝐵𝑎𝑟𝑟𝑎𝑆𝐸𝐼𝑁</m:t>
                        </m:r>
                      </m:sup>
                    </m:sSubSup>
                    <m:r>
                      <a:rPr lang="es-PE" sz="140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sSub>
                          <m:sSubPr>
                            <m:ctrlPr>
                              <a:rPr lang="es-PE" sz="140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𝑅𝑒𝑑𝑜𝑛𝑑𝑒𝑎𝑟</m:t>
                            </m:r>
                          </m:e>
                          <m:sub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𝑆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ó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𝑙𝑜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𝑎𝑝𝑙𝑖𝑐𝑎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𝐵𝑎𝑟𝑟𝑎𝑠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:"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𝑃𝑢𝑐𝑎𝑙𝑙𝑝𝑎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60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𝑘𝑉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",   "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𝐴𝑟𝑖𝑐𝑜𝑡𝑎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66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𝑘𝑉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",  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𝑦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"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𝑇𝑎𝑐𝑛𝑎</m:t>
                            </m:r>
                            <m:d>
                              <m:dPr>
                                <m:ctrlPr>
                                  <a:rPr lang="es-PE" sz="1400" b="0" i="1">
                                    <a:ln>
                                      <a:noFill/>
                                    </a:ln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s-PE" sz="1400" b="0" i="1">
                                    <a:ln>
                                      <a:noFill/>
                                    </a:ln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𝑙𝑜𝑠</m:t>
                                </m:r>
                                <m:r>
                                  <a:rPr lang="es-PE" sz="1400" b="0" i="1">
                                    <a:ln>
                                      <a:noFill/>
                                    </a:ln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r>
                                  <a:rPr lang="es-PE" sz="1400" b="0" i="1">
                                    <a:ln>
                                      <a:noFill/>
                                    </a:ln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𝐻</m:t>
                                </m:r>
                                <m:r>
                                  <a:rPr lang="es-PE" sz="1400" b="0" i="1">
                                    <a:ln>
                                      <a:noFill/>
                                    </a:ln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é</m:t>
                                </m:r>
                                <m:r>
                                  <a:rPr lang="es-PE" sz="1400" b="0" i="1">
                                    <a:ln>
                                      <a:noFill/>
                                    </a:ln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𝑟𝑜𝑒𝑠</m:t>
                                </m:r>
                              </m:e>
                            </m:d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66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𝑘𝑉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"</m:t>
                            </m:r>
                          </m:sub>
                        </m:s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[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𝑅𝑒𝑑𝑜𝑛𝑑𝑒𝑎𝑟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𝑃𝐸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𝑃𝐵𝑎𝑟𝑟𝑎𝑆𝐸𝐼𝑁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. 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𝐹𝑎𝑐𝑡𝑜𝑟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𝑃𝐸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_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𝑃𝐵𝑎𝑟𝑟𝑎𝑆𝐸𝐼𝑁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,2)+</m:t>
                    </m:r>
                    <m:sSub>
                      <m:sSub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sSub>
                          <m:sSubPr>
                            <m:ctrlP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𝐶𝑃𝑆𝐸𝐸</m:t>
                            </m:r>
                          </m:e>
                          <m:sub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𝑡</m:t>
                            </m:r>
                          </m:sub>
                        </m:sSub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𝑆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ó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𝑙𝑜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𝑎𝑝𝑙𝑖𝑐𝑎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𝑎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𝐵𝑎𝑟𝑟𝑎𝑠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:"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𝑃𝑢𝑐𝑎𝑙𝑙𝑝𝑎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60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𝑘𝑉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",   "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𝐴𝑟𝑖𝑐𝑜𝑡𝑎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66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𝑘𝑉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",  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𝑦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"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𝑇𝑎𝑐𝑛𝑎</m:t>
                        </m:r>
                        <m:d>
                          <m:dPr>
                            <m:ctrlP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𝑙𝑜𝑠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𝐻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é</m:t>
                            </m:r>
                            <m:r>
                              <a:rPr lang="es-PE" sz="1400" b="0" i="1">
                                <a:ln>
                                  <a:noFill/>
                                </a:ln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𝑟𝑜𝑒𝑠</m:t>
                            </m:r>
                          </m:e>
                        </m:d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66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𝑘𝑉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"</m:t>
                        </m:r>
                      </m:sub>
                    </m:sSub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,2]</m:t>
                    </m:r>
                  </m:oMath>
                </m:oMathPara>
              </a14:m>
              <a:endParaRPr lang="es-PE" sz="1400" b="0" i="1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2 CuadroTexto"/>
            <xdr:cNvSpPr txBox="1"/>
          </xdr:nvSpPr>
          <xdr:spPr>
            <a:xfrm>
              <a:off x="2196" y="22385868"/>
              <a:ext cx="17895279" cy="730249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〖𝑃𝑃〗_𝑡^𝑃𝐵𝑎𝑟𝑟𝑎𝑆𝐸𝐼𝑁</a:t>
              </a:r>
              <a:r>
                <a:rPr lang="es-PE" sz="140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=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〖𝑅𝑒𝑑𝑜𝑛𝑑𝑒𝑎𝑟(𝑃𝑃〗_0^𝑃𝐵𝑎𝑟𝑟𝑎𝑆𝐸𝐼𝑁. 𝐹𝑎𝑐𝑡𝑜𝑟 〖𝐹𝐴〗_𝑡^(𝑃𝑃_𝑃𝐵𝑎𝑟𝑟𝑎𝑆𝐸𝐼𝑁),2)+〖𝑃𝐶𝑆𝑃𝑇〗_𝑡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〖𝑃𝐸〗_𝑡^𝑃𝐵𝑎𝑟𝑟𝑎𝑆𝐸𝐼𝑁</a:t>
              </a:r>
              <a:r>
                <a:rPr lang="es-PE" sz="140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=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〖〖𝑅𝑒𝑑𝑜𝑛𝑑𝑒𝑎𝑟〗_(𝑆ó𝑙𝑜 𝑎𝑝𝑙𝑖𝑐𝑎 𝑎 𝐵𝑎𝑟𝑟𝑎𝑠:"𝑃𝑢𝑐𝑎𝑙𝑙𝑝𝑎 60𝑘𝑉",   "𝐴𝑟𝑖𝑐𝑜𝑡𝑎 66𝑘𝑉",   𝑦 "𝑇𝑎𝑐𝑛𝑎(𝑙𝑜𝑠 𝐻é𝑟𝑜𝑒𝑠)66𝑘𝑉")  [ 𝑅𝑒𝑑𝑜𝑛𝑑𝑒𝑎𝑟(𝑃𝐸〗_0^𝑃𝐵𝑎𝑟𝑟𝑎𝑆𝐸𝐼𝑁  .  𝐹𝑎𝑐𝑡𝑜𝑟 〖𝐹𝐴〗_𝑡^(𝑃𝐸_𝑃𝐵𝑎𝑟𝑟𝑎𝑆𝐸𝐼𝑁),2)+〖〖𝐶𝑃𝑆𝐸𝐸〗_𝑡〗_(𝑆ó𝑙𝑜 𝑎𝑝𝑙𝑖𝑐𝑎 𝑎 𝐵𝑎𝑟𝑟𝑎𝑠:"𝑃𝑢𝑐𝑎𝑙𝑙𝑝𝑎 60𝑘𝑉",   "𝐴𝑟𝑖𝑐𝑜𝑡𝑎 66𝑘𝑉",   𝑦 "𝑇𝑎𝑐𝑛𝑎(𝑙𝑜𝑠 𝐻é𝑟𝑜𝑒𝑠)66𝑘𝑉"),2]</a:t>
              </a:r>
              <a:endParaRPr lang="es-PE" sz="1400" b="0" i="1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0</xdr:col>
      <xdr:colOff>0</xdr:colOff>
      <xdr:row>137</xdr:row>
      <xdr:rowOff>21169</xdr:rowOff>
    </xdr:from>
    <xdr:ext cx="17897475" cy="35983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3 CuadroTexto"/>
            <xdr:cNvSpPr txBox="1"/>
          </xdr:nvSpPr>
          <xdr:spPr>
            <a:xfrm>
              <a:off x="0" y="23347894"/>
              <a:ext cx="17897475" cy="359832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𝑅𝑒𝑑𝑜𝑛𝑑𝑒𝑎𝑟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.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𝐹𝑎𝑐𝑡𝑜𝑟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,2)       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𝑁𝑜𝑡𝑎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: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𝑒𝑠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𝑒𝑙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𝑚𝑖𝑠𝑚𝑜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𝑝𝑎𝑟𝑎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𝑎𝑐𝑡𝑢𝑎𝑙𝑖𝑧𝑎𝑟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𝑃𝑃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𝑦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𝑃𝐸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𝑒𝑛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𝐵𝑎𝑟𝑟𝑎𝑠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𝐴𝑖𝑠𝑙𝑎𝑑𝑎𝑠</m:t>
                    </m:r>
                  </m:oMath>
                </m:oMathPara>
              </a14:m>
              <a:endParaRPr lang="es-PE" sz="1400" b="0" i="1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 b="0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>
                  <a:ln>
                    <a:noFill/>
                  </a:ln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endParaRPr lang="es-PE" sz="1400">
                <a:ln>
                  <a:noFill/>
                </a:ln>
                <a:latin typeface="+mn-lt"/>
              </a:endParaRPr>
            </a:p>
          </xdr:txBody>
        </xdr:sp>
      </mc:Choice>
      <mc:Fallback xmlns="">
        <xdr:sp macro="" textlink="">
          <xdr:nvSpPr>
            <xdr:cNvPr id="4" name="3 CuadroTexto"/>
            <xdr:cNvSpPr txBox="1"/>
          </xdr:nvSpPr>
          <xdr:spPr>
            <a:xfrm>
              <a:off x="0" y="23347894"/>
              <a:ext cx="17897475" cy="359832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𝑃_𝑡^𝑃𝐵𝑎𝑟𝑟𝑎𝐴𝑖𝑠𝑙𝑎𝑑𝑎</a:t>
              </a:r>
              <a:r>
                <a:rPr lang="es-PE" sz="140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=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〖𝑅𝑒𝑑𝑜𝑛𝑑𝑒𝑎𝑟(𝑃〗_0^𝑃𝐵𝑎𝑟𝑟𝑎𝐴𝑖𝑠𝑙𝑎𝑑𝑎. 𝐹𝑎𝑐𝑡𝑜𝑟 〖𝐹𝐴〗_𝑡^𝑃𝐵𝑎𝑟𝑟𝑎𝐴𝑖𝑠𝑙𝑎𝑑𝑎,2)        𝑁𝑜𝑡𝑎: 〖𝐹𝐴〗_𝑡^𝑃𝐵𝑎𝑟𝑟𝑎𝐴𝑖𝑠𝑙𝑎𝑑𝑎  𝑒𝑠 𝑒𝑙 𝑚𝑖𝑠𝑚𝑜 𝑝𝑎𝑟𝑎 𝑎𝑐𝑡𝑢𝑎𝑙𝑖𝑧𝑎𝑟 𝑃𝑃 𝑦 𝑃𝐸 𝑒𝑛 𝐵𝑎𝑟𝑟𝑎𝑠 𝐴𝑖𝑠𝑙𝑎𝑑𝑎𝑠</a:t>
              </a:r>
              <a:endParaRPr lang="es-PE" sz="1400" b="0" i="1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 b="0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>
                  <a:ln>
                    <a:noFill/>
                  </a:ln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endParaRPr lang="es-PE" sz="1400">
                <a:ln>
                  <a:noFill/>
                </a:ln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0</xdr:col>
      <xdr:colOff>2198</xdr:colOff>
      <xdr:row>140</xdr:row>
      <xdr:rowOff>10585</xdr:rowOff>
    </xdr:from>
    <xdr:ext cx="17885752" cy="3492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4 CuadroTexto"/>
            <xdr:cNvSpPr txBox="1"/>
          </xdr:nvSpPr>
          <xdr:spPr>
            <a:xfrm>
              <a:off x="2198" y="23918335"/>
              <a:ext cx="17885752" cy="349248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𝑃𝐸𝑓𝑒𝑐𝑡𝑖𝑣𝑜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𝑅𝑒𝑑𝑜𝑛𝑑𝑒𝑎𝑟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[ 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𝑃𝐸𝑓𝑒𝑐𝑡𝑖𝑣𝑜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+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𝑅𝑒𝑑𝑜𝑛𝑑𝑒𝑎𝑟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.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𝐹𝑎𝑐𝑡𝑜𝑟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−1) , 2 ]      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𝑁𝑜𝑡𝑎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: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𝑃𝐵𝑎𝑟𝑟𝑎𝐴𝑖𝑠𝑙𝑎𝑑𝑎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𝑒𝑠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𝑒𝑙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𝑚𝑖𝑠𝑚𝑜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𝑝𝑎𝑟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𝑎𝑐𝑡𝑢𝑎𝑙𝑖𝑧𝑎𝑟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𝑃𝑃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𝑦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𝑃𝐸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𝑒𝑛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𝐵𝑎𝑟𝑟𝑎𝑠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  <m:r>
                      <a:rPr lang="es-PE" sz="1400" b="0" i="1">
                        <a:ln>
                          <a:noFill/>
                        </a:ln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𝐴𝑖𝑠𝑙𝑎𝑑𝑎𝑠</m:t>
                    </m:r>
                  </m:oMath>
                </m:oMathPara>
              </a14:m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 b="0" i="1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 b="0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>
                  <a:ln>
                    <a:noFill/>
                  </a:ln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endParaRPr lang="es-PE" sz="1400">
                <a:ln>
                  <a:noFill/>
                </a:ln>
                <a:latin typeface="+mn-lt"/>
              </a:endParaRPr>
            </a:p>
          </xdr:txBody>
        </xdr:sp>
      </mc:Choice>
      <mc:Fallback xmlns="">
        <xdr:sp macro="" textlink="">
          <xdr:nvSpPr>
            <xdr:cNvPr id="5" name="4 CuadroTexto"/>
            <xdr:cNvSpPr txBox="1"/>
          </xdr:nvSpPr>
          <xdr:spPr>
            <a:xfrm>
              <a:off x="2198" y="23918335"/>
              <a:ext cx="17885752" cy="349248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〖𝑃𝐸𝑓𝑒𝑐𝑡𝑖𝑣𝑜〗_𝑡^𝑃𝐵𝑎𝑟𝑟𝑎𝐴𝑖𝑠𝑙𝑎𝑑𝑎</a:t>
              </a:r>
              <a:r>
                <a:rPr lang="es-PE" sz="140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=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〖𝑅𝑒𝑑𝑜𝑛𝑑𝑒𝑎𝑟[ 𝑃𝐸𝑓𝑒𝑐𝑡𝑖𝑣𝑜〗_0^𝑃𝐵𝑎𝑟𝑟𝑎𝐴𝑖𝑠𝑙𝑎𝑑𝑎+〖𝑅𝑒𝑑𝑜𝑛𝑑𝑒𝑎𝑟(𝑃〗_0^𝑃𝐵𝑎𝑟𝑟𝑎𝐴𝑖𝑠𝑙𝑎𝑑𝑎. 𝐹𝑎𝑐𝑡𝑜𝑟 〖𝐹𝐴〗_𝑡^𝑃𝐵𝑎𝑟𝑟𝑎𝐴𝑖𝑠𝑙𝑎𝑑𝑎−1) , 2 ]       𝑁𝑜𝑡𝑎: 〖𝐹𝐴〗_𝑡^𝑃𝐵𝑎𝑟𝑟𝑎𝐴𝑖𝑠𝑙𝑎𝑑𝑎 𝑒𝑠 𝑒𝑙 𝑚𝑖𝑠𝑚𝑜 𝑝𝑎𝑟 𝑎𝑐𝑡𝑢𝑎𝑙𝑖𝑧𝑎𝑟 𝑃𝑃 𝑦 𝑃𝐸 𝑒𝑛 𝐵𝑎𝑟𝑟𝑎𝑠 𝐴𝑖𝑠𝑙𝑎𝑑𝑎𝑠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 b="0" i="1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 b="0">
                <a:ln>
                  <a:noFill/>
                </a:ln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PE" sz="1400">
                  <a:ln>
                    <a:noFill/>
                  </a:ln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endParaRPr lang="es-PE" sz="1400">
                <a:ln>
                  <a:noFill/>
                </a:ln>
                <a:latin typeface="+mn-lt"/>
              </a:endParaRPr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36742</xdr:colOff>
      <xdr:row>99</xdr:row>
      <xdr:rowOff>52464</xdr:rowOff>
    </xdr:from>
    <xdr:ext cx="8316684" cy="6238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3 CuadroTexto"/>
            <xdr:cNvSpPr txBox="1"/>
          </xdr:nvSpPr>
          <xdr:spPr>
            <a:xfrm>
              <a:off x="9637942" y="19845414"/>
              <a:ext cx="8316684" cy="623811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  <m:t>𝑃𝑃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  <m:t>𝑃𝑁𝐺</m:t>
                        </m:r>
                      </m:sup>
                    </m:sSubSup>
                    <m:r>
                      <a:rPr lang="es-PE" sz="1400" i="1">
                        <a:ln>
                          <a:noFill/>
                        </a:ln>
                        <a:latin typeface="Cambria Math"/>
                      </a:rPr>
                      <m:t>=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𝑃𝑃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𝑃𝑁𝐺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latin typeface="Cambria Math"/>
                      </a:rPr>
                      <m:t>. </m:t>
                    </m:r>
                    <m:r>
                      <a:rPr lang="es-PE" sz="1400" b="0" i="1">
                        <a:ln>
                          <a:noFill/>
                        </a:ln>
                        <a:latin typeface="Cambria Math"/>
                      </a:rPr>
                      <m:t>𝐹𝑎𝑐𝑡𝑜𝑟</m:t>
                    </m:r>
                    <m:r>
                      <a:rPr lang="es-PE" sz="1400" b="0" i="1">
                        <a:ln>
                          <a:noFill/>
                        </a:ln>
                        <a:latin typeface="Cambria Math"/>
                      </a:rPr>
                      <m:t> </m:t>
                    </m:r>
                    <m:sSubSup>
                      <m:sSubSupPr>
                        <m:ctrlP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𝐹𝐴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𝑡</m:t>
                        </m:r>
                      </m:sub>
                      <m:sup>
                        <m:r>
                          <a:rPr lang="es-PE" sz="1400" b="0" i="1">
                            <a:ln>
                              <a:noFill/>
                            </a:ln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𝑃𝑁𝐺</m:t>
                        </m:r>
                      </m:sup>
                    </m:sSubSup>
                    <m:r>
                      <a:rPr lang="es-PE" sz="1400" b="0" i="1">
                        <a:ln>
                          <a:noFill/>
                        </a:ln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</m:ctrlPr>
                      </m:sSubPr>
                      <m:e>
                        <m: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  <m:t>𝑃𝐶𝑆𝑃𝑇</m:t>
                        </m:r>
                      </m:e>
                      <m:sub>
                        <m:r>
                          <a:rPr lang="es-PE" sz="1400" b="0" i="1">
                            <a:ln>
                              <a:noFill/>
                            </a:ln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s-PE" sz="1400" b="0" i="1">
                <a:ln>
                  <a:noFill/>
                </a:ln>
                <a:latin typeface="+mn-lt"/>
              </a:endParaRPr>
            </a:p>
            <a:p>
              <a14:m>
                <m:oMath xmlns:m="http://schemas.openxmlformats.org/officeDocument/2006/math">
                  <m:sSubSup>
                    <m:sSubSupPr>
                      <m:ctrlP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𝑃𝐸</m:t>
                      </m:r>
                    </m:e>
                    <m:sub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𝑡</m:t>
                      </m:r>
                    </m:sub>
                    <m:sup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𝑃𝑁𝐺</m:t>
                      </m:r>
                    </m:sup>
                  </m:sSubSup>
                  <m:r>
                    <a:rPr lang="es-PE" sz="1400" i="1">
                      <a:ln>
                        <a:noFill/>
                      </a:ln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  <m:sSubSup>
                    <m:sSubSupPr>
                      <m:ctrlP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𝑃𝐸</m:t>
                      </m:r>
                    </m:e>
                    <m:sub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0</m:t>
                      </m:r>
                    </m:sub>
                    <m:sup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𝑃𝑁𝐺</m:t>
                      </m:r>
                    </m:sup>
                  </m:sSubSup>
                  <m:r>
                    <a:rPr lang="es-PE" sz="1400" b="0" i="1">
                      <a:ln>
                        <a:noFill/>
                      </a:ln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.  </m:t>
                  </m:r>
                  <m:r>
                    <a:rPr lang="es-PE" sz="1400" b="0" i="1">
                      <a:ln>
                        <a:noFill/>
                      </a:ln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𝐹𝑎𝑐𝑡𝑜𝑟</m:t>
                  </m:r>
                  <m:r>
                    <a:rPr lang="es-PE" sz="1400" b="0" i="1">
                      <a:ln>
                        <a:noFill/>
                      </a:ln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Sup>
                    <m:sSubSupPr>
                      <m:ctrlP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𝐹𝐴</m:t>
                      </m:r>
                    </m:e>
                    <m:sub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𝑡</m:t>
                      </m:r>
                    </m:sub>
                    <m:sup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𝑃𝑁𝐺</m:t>
                      </m:r>
                    </m:sup>
                  </m:sSubSup>
                  <m:r>
                    <a:rPr lang="es-PE" sz="1400" b="0" i="1">
                      <a:ln>
                        <a:noFill/>
                      </a:ln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sSub>
                        <m:sSubPr>
                          <m:ctrlP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𝐶𝑃𝑆𝐸𝐸</m:t>
                          </m:r>
                        </m:e>
                        <m:sub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𝑡</m:t>
                          </m:r>
                        </m:sub>
                      </m:sSub>
                    </m:e>
                    <m:sub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𝑆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ó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𝑙𝑜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𝑎𝑝𝑙𝑖𝑐𝑎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𝑎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𝐵𝑎𝑟𝑟𝑎𝑠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: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𝑃𝑢𝑐𝑎𝑙𝑙𝑝𝑎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60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𝑘𝑉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,  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𝐴𝑟𝑖𝑐𝑜𝑡𝑎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66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𝑘𝑉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,  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𝑦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𝑇𝑎𝑐𝑛𝑎</m:t>
                      </m:r>
                      <m:d>
                        <m:dPr>
                          <m:ctrlP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𝑙𝑜𝑠</m:t>
                          </m:r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𝐻</m:t>
                          </m:r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é</m:t>
                          </m:r>
                          <m:r>
                            <a:rPr lang="es-PE" sz="1400" b="0" i="1">
                              <a:ln>
                                <a:noFill/>
                              </a:ln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𝑟𝑜𝑒𝑠</m:t>
                          </m:r>
                        </m:e>
                      </m:d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66</m:t>
                      </m:r>
                      <m:r>
                        <a:rPr lang="es-PE" sz="1400" b="0" i="1">
                          <a:ln>
                            <a:noFill/>
                          </a:ln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𝑘𝑉</m:t>
                      </m:r>
                    </m:sub>
                  </m:sSub>
                </m:oMath>
              </a14:m>
              <a:r>
                <a:rPr lang="es-PE" sz="1400">
                  <a:ln>
                    <a:noFill/>
                  </a:ln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endParaRPr lang="es-PE" sz="1400">
                <a:ln>
                  <a:noFill/>
                </a:ln>
                <a:latin typeface="+mn-lt"/>
              </a:endParaRPr>
            </a:p>
          </xdr:txBody>
        </xdr:sp>
      </mc:Choice>
      <mc:Fallback xmlns="">
        <xdr:sp macro="" textlink="">
          <xdr:nvSpPr>
            <xdr:cNvPr id="4" name="3 CuadroTexto"/>
            <xdr:cNvSpPr txBox="1"/>
          </xdr:nvSpPr>
          <xdr:spPr>
            <a:xfrm>
              <a:off x="9637942" y="19845414"/>
              <a:ext cx="8316684" cy="623811"/>
            </a:xfrm>
            <a:prstGeom prst="rect">
              <a:avLst/>
            </a:prstGeom>
            <a:noFill/>
            <a:ln w="15875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s-PE" sz="1400" b="0" i="0">
                  <a:ln>
                    <a:noFill/>
                  </a:ln>
                  <a:latin typeface="Cambria Math"/>
                </a:rPr>
                <a:t>〖𝑃𝑃〗_𝑡^𝑃𝑁𝐺</a:t>
              </a:r>
              <a:r>
                <a:rPr lang="es-PE" sz="1400" i="0">
                  <a:ln>
                    <a:noFill/>
                  </a:ln>
                  <a:latin typeface="Cambria Math"/>
                </a:rPr>
                <a:t>=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〖𝑃𝑃〗_0^𝑃𝑁𝐺</a:t>
              </a:r>
              <a:r>
                <a:rPr lang="es-PE" sz="1400" b="0" i="0">
                  <a:ln>
                    <a:noFill/>
                  </a:ln>
                  <a:latin typeface="Cambria Math"/>
                </a:rPr>
                <a:t>. 𝐹𝑎𝑐𝑡𝑜𝑟 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〖𝐹𝐴〗_𝑡^𝑃𝑁𝐺</a:t>
              </a:r>
              <a:r>
                <a:rPr lang="es-PE" sz="1400" b="0" i="0">
                  <a:ln>
                    <a:noFill/>
                  </a:ln>
                  <a:latin typeface="Cambria Math"/>
                </a:rPr>
                <a:t>+〖𝑃𝐶𝑆𝑃𝑇〗_𝑡</a:t>
              </a:r>
              <a:endParaRPr lang="es-PE" sz="1400" b="0" i="1">
                <a:ln>
                  <a:noFill/>
                </a:ln>
                <a:latin typeface="+mn-lt"/>
              </a:endParaRPr>
            </a:p>
            <a:p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〖𝑃𝐸〗_𝑡^𝑃𝑁𝐺</a:t>
              </a:r>
              <a:r>
                <a:rPr lang="es-PE" sz="140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=</a:t>
              </a:r>
              <a:r>
                <a:rPr lang="es-PE" sz="1400" b="0" i="0">
                  <a:ln>
                    <a:noFill/>
                  </a:ln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〖𝑃𝐸〗_0^𝑃𝑁𝐺  .  𝐹𝑎𝑐𝑡𝑜𝑟 〖𝐹𝐴〗_𝑡^𝑃𝑁𝐺+〖〖𝐶𝑃𝑆𝐸𝐸〗_𝑡〗_(𝑆ó𝑙𝑜 𝑎𝑝𝑙𝑖𝑐𝑎 𝑎 𝐵𝑎𝑟𝑟𝑎𝑠:𝑃𝑢𝑐𝑎𝑙𝑙𝑝𝑎 60𝑘𝑉,   𝐴𝑟𝑖𝑐𝑜𝑡𝑎 66𝑘𝑉,   𝑦 𝑇𝑎𝑐𝑛𝑎(𝑙𝑜𝑠 𝐻é𝑟𝑜𝑒𝑠)66𝑘𝑉)</a:t>
              </a:r>
              <a:r>
                <a:rPr lang="es-PE" sz="1400">
                  <a:ln>
                    <a:noFill/>
                  </a:ln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es-PE" sz="1400">
                <a:ln>
                  <a:noFill/>
                </a:ln>
                <a:effectLst/>
                <a:latin typeface="+mn-lt"/>
              </a:endParaRPr>
            </a:p>
            <a:p>
              <a:endParaRPr lang="es-PE" sz="1400">
                <a:ln>
                  <a:noFill/>
                </a:ln>
                <a:latin typeface="+mn-lt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srvapp05.osinerg.gob.pe/portal/server.pt/gateway/PTARGS_0_2253274_0_0_18/000333_Reg_000096_Platts_Metals_Week.pdf" TargetMode="External"/><Relationship Id="rId1" Type="http://schemas.openxmlformats.org/officeDocument/2006/relationships/hyperlink" Target="http://srvapp05.osinerg.gob.pe/portal/server.pt/gateway/PTARGS_0_2253286_0_0_18/000333_Reg_000100_Platts_Metals_Week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crp.gob.pe/docs/Estadisticas/Cuadros-Estadisticos/NC_058.xls" TargetMode="External"/><Relationship Id="rId2" Type="http://schemas.openxmlformats.org/officeDocument/2006/relationships/hyperlink" Target="http://www.elperuano.pe/PublicacionNLB/normaslegales/wfrmNormasBuscar.aspx" TargetMode="External"/><Relationship Id="rId1" Type="http://schemas.openxmlformats.org/officeDocument/2006/relationships/hyperlink" Target="http://www.sbs.gob.pe/app/stats/tc-cv.asp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2.osinerg.gob.pe/PreciosReferencia/TarPreciosReferencia_2012.html" TargetMode="External"/><Relationship Id="rId1" Type="http://schemas.openxmlformats.org/officeDocument/2006/relationships/hyperlink" Target="http://www.petroperu.com.pe/portalweb/Main.asp?Seccion=4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aduanet.gob.pe/itarancel/arancelS01Alia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2.osinerg.gob.pe/PreciosReferencia/pdf/2010/Diciembre/Potencia_Efectiva_Unidades_Duales(DP)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82"/>
  <sheetViews>
    <sheetView showGridLines="0" tabSelected="1" zoomScaleNormal="100" zoomScaleSheetLayoutView="85" workbookViewId="0"/>
  </sheetViews>
  <sheetFormatPr baseColWidth="10" defaultColWidth="8.88671875" defaultRowHeight="12.75"/>
  <cols>
    <col min="1" max="1" width="23" style="46" customWidth="1"/>
    <col min="2" max="4" width="10.6640625" style="46" customWidth="1"/>
    <col min="5" max="5" width="1.88671875" style="46" customWidth="1"/>
    <col min="6" max="6" width="10.88671875" style="46" customWidth="1"/>
    <col min="7" max="7" width="12.21875" style="46" customWidth="1"/>
    <col min="8" max="8" width="2.44140625" style="46" customWidth="1"/>
    <col min="9" max="10" width="9.5546875" style="46" customWidth="1"/>
    <col min="11" max="13" width="11.33203125" style="46" customWidth="1"/>
    <col min="14" max="14" width="8.88671875" style="46"/>
    <col min="15" max="15" width="9.21875" style="46" customWidth="1"/>
    <col min="16" max="16384" width="8.88671875" style="46"/>
  </cols>
  <sheetData>
    <row r="1" spans="1:10" ht="26.25">
      <c r="A1" s="358" t="s">
        <v>718</v>
      </c>
      <c r="B1" s="358"/>
      <c r="C1" s="358"/>
      <c r="D1" s="358"/>
      <c r="E1" s="358"/>
      <c r="F1" s="358"/>
      <c r="G1" s="358"/>
      <c r="H1" s="358"/>
      <c r="I1" s="358"/>
      <c r="J1" s="358"/>
    </row>
    <row r="3" spans="1:10" ht="20.25">
      <c r="A3" s="94" t="str">
        <f>CONCATENATE("Reajuste al ",TEXT(Historico!O5,"dd/mmmm/yyyy"))</f>
        <v>Reajuste al 04/diciembre/2012</v>
      </c>
      <c r="F3" s="707"/>
      <c r="G3" s="90" t="s">
        <v>711</v>
      </c>
    </row>
    <row r="5" spans="1:10">
      <c r="A5" s="723" t="s">
        <v>166</v>
      </c>
      <c r="B5" s="724" t="s">
        <v>167</v>
      </c>
      <c r="C5" s="724" t="s">
        <v>167</v>
      </c>
      <c r="D5" s="724" t="s">
        <v>167</v>
      </c>
      <c r="F5" s="32" t="s">
        <v>221</v>
      </c>
    </row>
    <row r="6" spans="1:10">
      <c r="A6" s="723" t="s">
        <v>168</v>
      </c>
      <c r="B6" s="724" t="s">
        <v>169</v>
      </c>
      <c r="C6" s="724" t="s">
        <v>170</v>
      </c>
      <c r="D6" s="724" t="s">
        <v>329</v>
      </c>
      <c r="F6" s="33" t="s">
        <v>330</v>
      </c>
    </row>
    <row r="7" spans="1:10">
      <c r="A7" s="93" t="s">
        <v>171</v>
      </c>
      <c r="B7" s="86">
        <f>MIN(Factores!$D$8:$D$10)</f>
        <v>-5.8967059780399289E-3</v>
      </c>
      <c r="C7" s="86">
        <f>MAX(Factores!$D$8:$D$10)</f>
        <v>-4.4003274662299807E-3</v>
      </c>
      <c r="D7" s="708">
        <v>0.05</v>
      </c>
      <c r="F7" s="82" t="str">
        <f>IF(AND(DAY(Factores!F5)=1,MONTH(Factores!F5)=5),"Ft",IF(AND(OR(OR(-D7&gt;B7,B7&gt;D7,-D7&gt;C7,C7&gt;D7)=TRUE,OR(-D9&gt;B9,B9&gt;D9,-D9&gt;C9,C9&gt;D9)=TRUE,OR(-D10&gt;B10,B10&gt;D10,-D10&gt;C10,C10&gt;D10)=TRUE)=TRUE)=TRUE,"Ft","Ft-1"))</f>
        <v>Ft-1</v>
      </c>
    </row>
    <row r="8" spans="1:10">
      <c r="A8" s="93" t="s">
        <v>325</v>
      </c>
      <c r="B8" s="86">
        <f>MIN(Factores!$D$12:$D$22)</f>
        <v>-2.6222894604135405E-3</v>
      </c>
      <c r="C8" s="86">
        <f>MAX(Factores!$D$12:$D$22)</f>
        <v>-9.8183603338242165E-5</v>
      </c>
      <c r="D8" s="709">
        <v>1.4999999999999999E-2</v>
      </c>
      <c r="F8" s="82" t="str">
        <f>IF(AND(DAY(Factores!F5)=1,MONTH(Factores!F5)=5),"Ft",IF(AND(OR(-D8&gt;B8,B8&gt;D8,-D8&gt;C8,C8&gt;D8)=TRUE)=TRUE,"Ft","Ft-1"))</f>
        <v>Ft-1</v>
      </c>
    </row>
    <row r="9" spans="1:10">
      <c r="A9" s="93" t="s">
        <v>21</v>
      </c>
      <c r="B9" s="86">
        <f>MIN(Factores!$D$27:$D$59)</f>
        <v>-5.043746783324754E-3</v>
      </c>
      <c r="C9" s="86">
        <f>MAX(Factores!$D$27:$D$59)</f>
        <v>0</v>
      </c>
      <c r="D9" s="708">
        <v>0.05</v>
      </c>
      <c r="F9" s="82" t="str">
        <f>IF(AND(DAY(Factores!F5)=1,MONTH(Factores!F5)=5),"Ft",IF(AND(OR(OR(-D7&gt;B7,B7&gt;D7,-D7&gt;C7,C7&gt;D7)=TRUE,OR(-D9&gt;B9,B9&gt;D9,-D9&gt;C9,C9&gt;D9)=TRUE,OR(-D10&gt;B10,B10&gt;D10,-D10&gt;C10,C10&gt;D10)=TRUE)=TRUE)=TRUE,"Ft","Ft-1"))</f>
        <v>Ft-1</v>
      </c>
    </row>
    <row r="10" spans="1:10">
      <c r="A10" s="93" t="s">
        <v>172</v>
      </c>
      <c r="B10" s="86">
        <f>MIN(Factores!$D$63:$D$82)</f>
        <v>-2.8114444665209626E-2</v>
      </c>
      <c r="C10" s="86">
        <f>MAX(Factores!$D$63:$D$82)</f>
        <v>-1.6135881104033967E-2</v>
      </c>
      <c r="D10" s="708">
        <v>0.05</v>
      </c>
      <c r="F10" s="82" t="str">
        <f>IF(AND(DAY(Factores!F5)=1,MONTH(Factores!F5)=5),"Ft",IF(OR(-D10&gt;B10,B10&gt;D10,-D10&gt;C10,C10&gt;D10)=TRUE,"Ft","Ft-1"))</f>
        <v>Ft-1</v>
      </c>
    </row>
    <row r="11" spans="1:10">
      <c r="A11" s="93" t="s">
        <v>173</v>
      </c>
      <c r="B11" s="86">
        <f>MIN(Factores!$D$89:$D$122)</f>
        <v>-3.1755787748412034E-3</v>
      </c>
      <c r="C11" s="86">
        <f>MAX(Factores!$D$89:$D$122)</f>
        <v>-1.3980427401638629E-3</v>
      </c>
      <c r="D11" s="710">
        <v>1.4999999999999999E-2</v>
      </c>
      <c r="F11" s="82" t="str">
        <f>IF(AND(DAY(Factores!F5)=1,MONTH(Factores!F5)=5),"Ft",IF(OR(AND(OR(-D8&gt;B8,B8&gt;D8,-D8&gt;C8,C8&gt;D8)=TRUE)=TRUE,OR(OR(-D7&gt;B7,B7&gt;D7,-D7&gt;C7,C7&gt;D7)=TRUE,OR(-D9&gt;B9,B9&gt;D9,-D9&gt;C9,C9&gt;D9)=TRUE,OR(-D10&gt;B10,B10&gt;D10,-D10&gt;C10,C10&gt;D10)=TRUE,OR(-D11&gt;B11,B11&gt;D11,-D11&gt;C11,C11&gt;D11)=TRUE)=TRUE)=TRUE,"Ft","Ft-1"))</f>
        <v>Ft-1</v>
      </c>
    </row>
    <row r="12" spans="1:10">
      <c r="A12" s="93" t="s">
        <v>392</v>
      </c>
      <c r="B12" s="821">
        <f>+Factores!D23</f>
        <v>-1.8399999999999972E-2</v>
      </c>
      <c r="C12" s="821"/>
      <c r="D12" s="711">
        <v>0.01</v>
      </c>
      <c r="F12" s="82" t="str">
        <f>IF(AND(DAY(Factores!F5)=1,MONTH(Factores!F5)=5),"Ft",IF(AND(OR(-D12&gt;B12,B12&gt;D12)=TRUE)=TRUE,"Ft","Ft-1"))</f>
        <v>Ft</v>
      </c>
    </row>
    <row r="13" spans="1:10">
      <c r="A13" s="78" t="s">
        <v>331</v>
      </c>
      <c r="B13" s="79" t="s">
        <v>333</v>
      </c>
      <c r="E13" s="47"/>
    </row>
    <row r="14" spans="1:10">
      <c r="B14" s="79" t="s">
        <v>332</v>
      </c>
    </row>
    <row r="15" spans="1:10">
      <c r="B15" s="46" t="s">
        <v>334</v>
      </c>
    </row>
    <row r="16" spans="1:10">
      <c r="A16" s="52" t="s">
        <v>275</v>
      </c>
    </row>
    <row r="18" spans="1:4">
      <c r="A18" s="39" t="s">
        <v>326</v>
      </c>
      <c r="B18" s="40">
        <v>41217</v>
      </c>
      <c r="C18" s="40">
        <f>+Historico!O5</f>
        <v>41247</v>
      </c>
      <c r="D18" s="41" t="s">
        <v>8</v>
      </c>
    </row>
    <row r="19" spans="1:4">
      <c r="A19" s="42" t="s">
        <v>0</v>
      </c>
      <c r="B19" s="60">
        <v>208.93420599999999</v>
      </c>
      <c r="C19" s="60">
        <f>+'ALUMINIO-COBRE-TC-IPM'!H8</f>
        <v>208.463032</v>
      </c>
      <c r="D19" s="54">
        <f>+C19/B19-1</f>
        <v>-2.2551309764949901E-3</v>
      </c>
    </row>
    <row r="20" spans="1:4">
      <c r="A20" s="42" t="s">
        <v>11</v>
      </c>
      <c r="B20" s="45">
        <v>2.5920000000000001</v>
      </c>
      <c r="C20" s="45">
        <f>+'ALUMINIO-COBRE-TC-IPM'!G8</f>
        <v>2.5790000000000002</v>
      </c>
      <c r="D20" s="54">
        <f t="shared" ref="D20:D25" si="0">+C20/B20-1</f>
        <v>-5.0154320987654266E-3</v>
      </c>
    </row>
    <row r="21" spans="1:4">
      <c r="A21" s="42" t="s">
        <v>50</v>
      </c>
      <c r="B21" s="45">
        <v>6.4589999999999996</v>
      </c>
      <c r="C21" s="45">
        <f>+COMBUSTIBLES!I14</f>
        <v>6.4260000000000002</v>
      </c>
      <c r="D21" s="54">
        <f>+C21/B21-1</f>
        <v>-5.1091500232233189E-3</v>
      </c>
    </row>
    <row r="22" spans="1:4">
      <c r="A22" s="42" t="s">
        <v>51</v>
      </c>
      <c r="B22" s="45">
        <v>108.13</v>
      </c>
      <c r="C22" s="45">
        <f>+COMBUSTIBLES!E14</f>
        <v>106.15</v>
      </c>
      <c r="D22" s="54">
        <f t="shared" si="0"/>
        <v>-1.831129196337733E-2</v>
      </c>
    </row>
    <row r="23" spans="1:4">
      <c r="A23" s="42" t="s">
        <v>271</v>
      </c>
      <c r="B23" s="45">
        <v>9.98</v>
      </c>
      <c r="C23" s="45">
        <f>+COMBUSTIBLES!G6+COMBUSTIBLES!I6</f>
        <v>9.629999999999999</v>
      </c>
      <c r="D23" s="54">
        <f t="shared" si="0"/>
        <v>-3.5070140280561213E-2</v>
      </c>
    </row>
    <row r="24" spans="1:4">
      <c r="A24" s="42" t="s">
        <v>260</v>
      </c>
      <c r="B24" s="45">
        <v>6.8199999999999994</v>
      </c>
      <c r="C24" s="45">
        <f>+COMBUSTIBLES!H6+COMBUSTIBLES!J6</f>
        <v>6.55</v>
      </c>
      <c r="D24" s="54">
        <f t="shared" si="0"/>
        <v>-3.9589442815249232E-2</v>
      </c>
    </row>
    <row r="25" spans="1:4">
      <c r="A25" s="42" t="s">
        <v>272</v>
      </c>
      <c r="B25" s="45">
        <v>10.389999999999999</v>
      </c>
      <c r="C25" s="45">
        <f>+COMBUSTIBLES!G7+COMBUSTIBLES!I7</f>
        <v>10.389999999999999</v>
      </c>
      <c r="D25" s="54">
        <f t="shared" si="0"/>
        <v>0</v>
      </c>
    </row>
    <row r="26" spans="1:4">
      <c r="A26" s="42" t="s">
        <v>273</v>
      </c>
      <c r="B26" s="45">
        <v>9.69</v>
      </c>
      <c r="C26" s="45">
        <f>+COMBUSTIBLES!G8+COMBUSTIBLES!I8</f>
        <v>9.69</v>
      </c>
      <c r="D26" s="54">
        <f>+C26/B26-1</f>
        <v>0</v>
      </c>
    </row>
    <row r="27" spans="1:4">
      <c r="A27" s="42" t="s">
        <v>263</v>
      </c>
      <c r="B27" s="45">
        <v>7.54</v>
      </c>
      <c r="C27" s="45">
        <f>+COMBUSTIBLES!H8+COMBUSTIBLES!J8</f>
        <v>7.54</v>
      </c>
      <c r="D27" s="54">
        <f>+C27/B27-1</f>
        <v>0</v>
      </c>
    </row>
    <row r="28" spans="1:4">
      <c r="A28" s="42" t="s">
        <v>274</v>
      </c>
      <c r="B28" s="45">
        <v>10.89</v>
      </c>
      <c r="C28" s="45">
        <f>+COMBUSTIBLES!G10+COMBUSTIBLES!I10</f>
        <v>10.89</v>
      </c>
      <c r="D28" s="54">
        <f>+C28/B28-1</f>
        <v>0</v>
      </c>
    </row>
    <row r="29" spans="1:4">
      <c r="A29" s="42" t="s">
        <v>72</v>
      </c>
      <c r="B29" s="712">
        <v>355.86250000000001</v>
      </c>
      <c r="C29" s="51">
        <f>+'ALUMINIO-COBRE-TC-IPM'!F8</f>
        <v>358.5916666666667</v>
      </c>
      <c r="D29" s="54">
        <f>+C29/B29-1</f>
        <v>7.6691606074443808E-3</v>
      </c>
    </row>
    <row r="30" spans="1:4">
      <c r="A30" s="42" t="s">
        <v>73</v>
      </c>
      <c r="B30" s="712">
        <v>2039.2735769230769</v>
      </c>
      <c r="C30" s="51">
        <f>+'ALUMINIO-COBRE-TC-IPM'!E8</f>
        <v>2025.2735769230769</v>
      </c>
      <c r="D30" s="54">
        <f>+C30/B30-1</f>
        <v>-6.8651897216869262E-3</v>
      </c>
    </row>
    <row r="31" spans="1:4">
      <c r="A31" s="65"/>
    </row>
    <row r="32" spans="1:4">
      <c r="A32" s="52" t="s">
        <v>369</v>
      </c>
    </row>
    <row r="33" spans="1:11">
      <c r="A33" s="46" t="s">
        <v>712</v>
      </c>
      <c r="J33" s="91" t="s">
        <v>341</v>
      </c>
    </row>
    <row r="34" spans="1:11">
      <c r="A34" s="39" t="s">
        <v>267</v>
      </c>
      <c r="B34" s="40">
        <v>41217</v>
      </c>
      <c r="C34" s="40">
        <f>+C18</f>
        <v>41247</v>
      </c>
      <c r="D34" s="41" t="s">
        <v>8</v>
      </c>
      <c r="F34" s="698"/>
      <c r="G34" s="696"/>
      <c r="H34" s="696"/>
      <c r="I34" s="696"/>
      <c r="J34" s="697"/>
      <c r="K34" s="726"/>
    </row>
    <row r="35" spans="1:11">
      <c r="A35" s="42" t="s">
        <v>0</v>
      </c>
      <c r="B35" s="43">
        <v>208.93420599999999</v>
      </c>
      <c r="C35" s="43">
        <f t="shared" ref="C35:C40" si="1">+C19</f>
        <v>208.463032</v>
      </c>
      <c r="D35" s="44">
        <f t="shared" ref="D35:D40" si="2">+C35/B35-1</f>
        <v>-2.2551309764949901E-3</v>
      </c>
      <c r="F35" s="700"/>
      <c r="G35" s="695"/>
      <c r="H35" s="695"/>
      <c r="I35" s="695"/>
      <c r="J35" s="699"/>
      <c r="K35" s="726"/>
    </row>
    <row r="36" spans="1:11">
      <c r="A36" s="42" t="s">
        <v>11</v>
      </c>
      <c r="B36" s="43">
        <v>2.5920000000000001</v>
      </c>
      <c r="C36" s="43">
        <f t="shared" si="1"/>
        <v>2.5790000000000002</v>
      </c>
      <c r="D36" s="44">
        <f t="shared" si="2"/>
        <v>-5.0154320987654266E-3</v>
      </c>
      <c r="F36" s="700"/>
      <c r="G36" s="695"/>
      <c r="H36" s="695"/>
      <c r="I36" s="695"/>
      <c r="J36" s="699"/>
      <c r="K36" s="726"/>
    </row>
    <row r="37" spans="1:11">
      <c r="A37" s="42" t="s">
        <v>50</v>
      </c>
      <c r="B37" s="45">
        <v>6.4589999999999996</v>
      </c>
      <c r="C37" s="43">
        <f t="shared" si="1"/>
        <v>6.4260000000000002</v>
      </c>
      <c r="D37" s="44">
        <f t="shared" si="2"/>
        <v>-5.1091500232233189E-3</v>
      </c>
      <c r="F37" s="700"/>
      <c r="G37" s="695"/>
      <c r="H37" s="695"/>
      <c r="I37" s="695"/>
      <c r="J37" s="699"/>
      <c r="K37" s="726"/>
    </row>
    <row r="38" spans="1:11">
      <c r="A38" s="42" t="s">
        <v>51</v>
      </c>
      <c r="B38" s="45">
        <v>108.13</v>
      </c>
      <c r="C38" s="43">
        <f t="shared" si="1"/>
        <v>106.15</v>
      </c>
      <c r="D38" s="44">
        <f t="shared" si="2"/>
        <v>-1.831129196337733E-2</v>
      </c>
      <c r="F38" s="700"/>
      <c r="G38" s="695"/>
      <c r="H38" s="695"/>
      <c r="I38" s="695"/>
      <c r="J38" s="699"/>
      <c r="K38" s="726"/>
    </row>
    <row r="39" spans="1:11">
      <c r="A39" s="42" t="s">
        <v>259</v>
      </c>
      <c r="B39" s="43">
        <v>9.98</v>
      </c>
      <c r="C39" s="43">
        <f t="shared" si="1"/>
        <v>9.629999999999999</v>
      </c>
      <c r="D39" s="44">
        <f t="shared" si="2"/>
        <v>-3.5070140280561213E-2</v>
      </c>
      <c r="F39" s="700"/>
      <c r="G39" s="695"/>
      <c r="H39" s="695"/>
      <c r="I39" s="695"/>
      <c r="J39" s="699"/>
      <c r="K39" s="726"/>
    </row>
    <row r="40" spans="1:11">
      <c r="A40" s="42" t="s">
        <v>260</v>
      </c>
      <c r="B40" s="43">
        <v>6.8199999999999994</v>
      </c>
      <c r="C40" s="43">
        <f t="shared" si="1"/>
        <v>6.55</v>
      </c>
      <c r="D40" s="44">
        <f t="shared" si="2"/>
        <v>-3.9589442815249232E-2</v>
      </c>
      <c r="F40" s="700"/>
      <c r="G40" s="695"/>
      <c r="H40" s="695"/>
      <c r="I40" s="695"/>
      <c r="J40" s="699"/>
    </row>
    <row r="41" spans="1:11">
      <c r="A41" s="65"/>
      <c r="F41" s="700"/>
      <c r="G41" s="695"/>
      <c r="H41" s="695"/>
      <c r="I41" s="695"/>
      <c r="J41" s="699"/>
    </row>
    <row r="42" spans="1:11" ht="12.75" customHeight="1">
      <c r="A42" s="46" t="s">
        <v>713</v>
      </c>
      <c r="F42" s="700"/>
      <c r="G42" s="695"/>
      <c r="H42" s="695"/>
      <c r="I42" s="695"/>
      <c r="J42" s="699"/>
    </row>
    <row r="43" spans="1:11">
      <c r="A43" s="39" t="s">
        <v>267</v>
      </c>
      <c r="B43" s="40">
        <v>41217</v>
      </c>
      <c r="C43" s="40">
        <f>+C34</f>
        <v>41247</v>
      </c>
      <c r="D43" s="41" t="s">
        <v>8</v>
      </c>
      <c r="F43" s="700"/>
      <c r="G43" s="695"/>
      <c r="H43" s="695"/>
      <c r="I43" s="695"/>
      <c r="J43" s="699"/>
    </row>
    <row r="44" spans="1:11" ht="12.75" customHeight="1">
      <c r="A44" s="42" t="s">
        <v>0</v>
      </c>
      <c r="B44" s="43">
        <v>208.93420599999999</v>
      </c>
      <c r="C44" s="43">
        <f>+C19</f>
        <v>208.463032</v>
      </c>
      <c r="D44" s="44">
        <f>+C44/B44-1</f>
        <v>-2.2551309764949901E-3</v>
      </c>
      <c r="F44" s="700"/>
      <c r="G44" s="695"/>
      <c r="H44" s="695"/>
      <c r="I44" s="695"/>
      <c r="J44" s="699"/>
      <c r="K44" s="726"/>
    </row>
    <row r="45" spans="1:11">
      <c r="A45" s="42" t="s">
        <v>11</v>
      </c>
      <c r="B45" s="43">
        <v>2.5920000000000001</v>
      </c>
      <c r="C45" s="43">
        <f>+C20</f>
        <v>2.5790000000000002</v>
      </c>
      <c r="D45" s="44">
        <f>+C45/B45-1</f>
        <v>-5.0154320987654266E-3</v>
      </c>
      <c r="F45" s="700"/>
      <c r="G45" s="695"/>
      <c r="H45" s="695"/>
      <c r="I45" s="695"/>
      <c r="J45" s="699"/>
      <c r="K45" s="726"/>
    </row>
    <row r="46" spans="1:11">
      <c r="A46" s="42" t="s">
        <v>50</v>
      </c>
      <c r="B46" s="43">
        <v>6.4589999999999996</v>
      </c>
      <c r="C46" s="43">
        <f>+C21</f>
        <v>6.4260000000000002</v>
      </c>
      <c r="D46" s="44">
        <f t="shared" ref="D46:D51" si="3">+C46/B46-1</f>
        <v>-5.1091500232233189E-3</v>
      </c>
      <c r="F46" s="700"/>
      <c r="G46" s="695"/>
      <c r="H46" s="695"/>
      <c r="I46" s="695"/>
      <c r="J46" s="699"/>
      <c r="K46" s="726"/>
    </row>
    <row r="47" spans="1:11">
      <c r="A47" s="42" t="s">
        <v>51</v>
      </c>
      <c r="B47" s="43">
        <v>108.13</v>
      </c>
      <c r="C47" s="43">
        <f>+C22</f>
        <v>106.15</v>
      </c>
      <c r="D47" s="44">
        <f t="shared" si="3"/>
        <v>-1.831129196337733E-2</v>
      </c>
      <c r="F47" s="700"/>
      <c r="G47" s="695"/>
      <c r="H47" s="695"/>
      <c r="I47" s="695"/>
      <c r="J47" s="699"/>
      <c r="K47" s="726"/>
    </row>
    <row r="48" spans="1:11">
      <c r="A48" s="42" t="s">
        <v>261</v>
      </c>
      <c r="B48" s="43">
        <v>10.389999999999999</v>
      </c>
      <c r="C48" s="43">
        <f>+C25</f>
        <v>10.389999999999999</v>
      </c>
      <c r="D48" s="44">
        <f t="shared" si="3"/>
        <v>0</v>
      </c>
      <c r="F48" s="701"/>
      <c r="G48" s="702"/>
      <c r="H48" s="702"/>
      <c r="I48" s="702"/>
      <c r="J48" s="713"/>
      <c r="K48" s="726"/>
    </row>
    <row r="49" spans="1:11">
      <c r="A49" s="42" t="s">
        <v>262</v>
      </c>
      <c r="B49" s="43">
        <v>9.69</v>
      </c>
      <c r="C49" s="43">
        <f>+C26</f>
        <v>9.69</v>
      </c>
      <c r="D49" s="44">
        <f t="shared" si="3"/>
        <v>0</v>
      </c>
      <c r="K49" s="726"/>
    </row>
    <row r="50" spans="1:11">
      <c r="A50" s="42" t="s">
        <v>263</v>
      </c>
      <c r="B50" s="43">
        <v>7.54</v>
      </c>
      <c r="C50" s="43">
        <f>+C27</f>
        <v>7.54</v>
      </c>
      <c r="D50" s="44">
        <f t="shared" si="3"/>
        <v>0</v>
      </c>
      <c r="J50" s="91" t="s">
        <v>366</v>
      </c>
      <c r="K50" s="726"/>
    </row>
    <row r="51" spans="1:11">
      <c r="A51" s="42" t="s">
        <v>264</v>
      </c>
      <c r="B51" s="43">
        <v>10.89</v>
      </c>
      <c r="C51" s="43">
        <f>+C28</f>
        <v>10.89</v>
      </c>
      <c r="D51" s="44">
        <f t="shared" si="3"/>
        <v>0</v>
      </c>
      <c r="F51" s="698"/>
      <c r="G51" s="696"/>
      <c r="H51" s="696"/>
      <c r="I51" s="696"/>
      <c r="J51" s="697"/>
      <c r="K51" s="726"/>
    </row>
    <row r="52" spans="1:11">
      <c r="F52" s="700"/>
      <c r="G52" s="695"/>
      <c r="H52" s="695"/>
      <c r="I52" s="695"/>
      <c r="J52" s="699"/>
    </row>
    <row r="53" spans="1:11">
      <c r="A53" s="46" t="s">
        <v>714</v>
      </c>
      <c r="F53" s="700"/>
      <c r="G53" s="695"/>
      <c r="H53" s="695"/>
      <c r="I53" s="695"/>
      <c r="J53" s="699"/>
    </row>
    <row r="54" spans="1:11">
      <c r="A54" s="39" t="s">
        <v>267</v>
      </c>
      <c r="B54" s="40">
        <v>41217</v>
      </c>
      <c r="C54" s="40">
        <f>+C43</f>
        <v>41247</v>
      </c>
      <c r="D54" s="41" t="s">
        <v>8</v>
      </c>
      <c r="F54" s="700"/>
      <c r="G54" s="695"/>
      <c r="H54" s="695"/>
      <c r="I54" s="695"/>
      <c r="J54" s="699"/>
    </row>
    <row r="55" spans="1:11" ht="12.75" customHeight="1">
      <c r="A55" s="42" t="s">
        <v>0</v>
      </c>
      <c r="B55" s="43">
        <v>208.93420599999999</v>
      </c>
      <c r="C55" s="43">
        <f>+C44</f>
        <v>208.463032</v>
      </c>
      <c r="D55" s="44">
        <f>+C55/B55-1</f>
        <v>-2.2551309764949901E-3</v>
      </c>
      <c r="F55" s="700"/>
      <c r="G55" s="695"/>
      <c r="H55" s="695"/>
      <c r="I55" s="695"/>
      <c r="J55" s="699"/>
      <c r="K55" s="726"/>
    </row>
    <row r="56" spans="1:11">
      <c r="A56" s="42" t="s">
        <v>11</v>
      </c>
      <c r="B56" s="43">
        <v>2.5920000000000001</v>
      </c>
      <c r="C56" s="43">
        <f>+C45</f>
        <v>2.5790000000000002</v>
      </c>
      <c r="D56" s="44">
        <f>+C56/B56-1</f>
        <v>-5.0154320987654266E-3</v>
      </c>
      <c r="F56" s="700"/>
      <c r="G56" s="695"/>
      <c r="H56" s="695"/>
      <c r="I56" s="695"/>
      <c r="J56" s="699"/>
      <c r="K56" s="726"/>
    </row>
    <row r="57" spans="1:11">
      <c r="A57" s="42" t="s">
        <v>72</v>
      </c>
      <c r="B57" s="45">
        <v>355.86250000000001</v>
      </c>
      <c r="C57" s="51">
        <f>+'ALUMINIO-COBRE-TC-IPM'!F8</f>
        <v>358.5916666666667</v>
      </c>
      <c r="D57" s="44">
        <f>+C57/B57-1</f>
        <v>7.6691606074443808E-3</v>
      </c>
      <c r="F57" s="700"/>
      <c r="G57" s="695"/>
      <c r="H57" s="695"/>
      <c r="I57" s="695"/>
      <c r="J57" s="699"/>
      <c r="K57" s="726"/>
    </row>
    <row r="58" spans="1:11">
      <c r="A58" s="42" t="s">
        <v>73</v>
      </c>
      <c r="B58" s="45">
        <v>2039.2735769230769</v>
      </c>
      <c r="C58" s="51">
        <f>+'ALUMINIO-COBRE-TC-IPM'!E8</f>
        <v>2025.2735769230769</v>
      </c>
      <c r="D58" s="44">
        <f>+C58/B58-1</f>
        <v>-6.8651897216869262E-3</v>
      </c>
      <c r="F58" s="700"/>
      <c r="G58" s="695"/>
      <c r="H58" s="714"/>
      <c r="I58" s="695"/>
      <c r="J58" s="699"/>
      <c r="K58" s="726"/>
    </row>
    <row r="59" spans="1:11">
      <c r="F59" s="700"/>
      <c r="G59" s="695"/>
      <c r="H59" s="714"/>
      <c r="I59" s="695"/>
      <c r="J59" s="699"/>
      <c r="K59" s="726"/>
    </row>
    <row r="60" spans="1:11">
      <c r="A60" s="46" t="s">
        <v>715</v>
      </c>
      <c r="F60" s="700"/>
      <c r="G60" s="695"/>
      <c r="H60" s="714"/>
      <c r="I60" s="695"/>
      <c r="J60" s="699"/>
      <c r="K60" s="726"/>
    </row>
    <row r="61" spans="1:11">
      <c r="A61" s="39" t="s">
        <v>267</v>
      </c>
      <c r="B61" s="40">
        <v>41217</v>
      </c>
      <c r="C61" s="40">
        <f>+C54</f>
        <v>41247</v>
      </c>
      <c r="D61" s="41" t="s">
        <v>8</v>
      </c>
      <c r="F61" s="700"/>
      <c r="G61" s="695"/>
      <c r="H61" s="714"/>
      <c r="I61" s="695"/>
      <c r="J61" s="699"/>
    </row>
    <row r="62" spans="1:11">
      <c r="A62" s="42" t="s">
        <v>0</v>
      </c>
      <c r="B62" s="43">
        <v>208.93420599999999</v>
      </c>
      <c r="C62" s="43">
        <f>+C55</f>
        <v>208.463032</v>
      </c>
      <c r="D62" s="44">
        <f>+C62/B62-1</f>
        <v>-2.2551309764949901E-3</v>
      </c>
      <c r="F62" s="700"/>
      <c r="G62" s="695"/>
      <c r="H62" s="695"/>
      <c r="I62" s="695"/>
      <c r="J62" s="699"/>
      <c r="K62" s="726"/>
    </row>
    <row r="63" spans="1:11">
      <c r="A63" s="42" t="s">
        <v>11</v>
      </c>
      <c r="B63" s="43">
        <v>2.5920000000000001</v>
      </c>
      <c r="C63" s="43">
        <f>+C56</f>
        <v>2.5790000000000002</v>
      </c>
      <c r="D63" s="44">
        <f>+C63/B63-1</f>
        <v>-5.0154320987654266E-3</v>
      </c>
      <c r="F63" s="700"/>
      <c r="G63" s="695"/>
      <c r="H63" s="695"/>
      <c r="I63" s="695"/>
      <c r="J63" s="699"/>
      <c r="K63" s="726"/>
    </row>
    <row r="64" spans="1:11">
      <c r="A64" s="42" t="s">
        <v>72</v>
      </c>
      <c r="B64" s="45">
        <v>355.86250000000001</v>
      </c>
      <c r="C64" s="43">
        <f>+C57</f>
        <v>358.5916666666667</v>
      </c>
      <c r="D64" s="44">
        <f>+C64/B64-1</f>
        <v>7.6691606074443808E-3</v>
      </c>
      <c r="F64" s="700"/>
      <c r="G64" s="695"/>
      <c r="H64" s="695"/>
      <c r="I64" s="695"/>
      <c r="J64" s="699"/>
      <c r="K64" s="726"/>
    </row>
    <row r="65" spans="1:11">
      <c r="A65" s="42" t="s">
        <v>73</v>
      </c>
      <c r="B65" s="45">
        <v>2039.2735769230769</v>
      </c>
      <c r="C65" s="43">
        <f>+C58</f>
        <v>2025.2735769230769</v>
      </c>
      <c r="D65" s="44">
        <f>+C65/B65-1</f>
        <v>-6.8651897216869262E-3</v>
      </c>
      <c r="F65" s="700"/>
      <c r="G65" s="695"/>
      <c r="H65" s="695"/>
      <c r="I65" s="695"/>
      <c r="J65" s="699"/>
      <c r="K65" s="726"/>
    </row>
    <row r="66" spans="1:11">
      <c r="F66" s="700"/>
      <c r="G66" s="695"/>
      <c r="H66" s="695"/>
      <c r="I66" s="695"/>
      <c r="J66" s="699"/>
    </row>
    <row r="67" spans="1:11">
      <c r="A67" s="46" t="s">
        <v>716</v>
      </c>
      <c r="F67" s="700"/>
      <c r="G67" s="695"/>
      <c r="H67" s="695"/>
      <c r="I67" s="695"/>
      <c r="J67" s="699"/>
    </row>
    <row r="68" spans="1:11">
      <c r="A68" s="39" t="s">
        <v>267</v>
      </c>
      <c r="B68" s="40">
        <v>41217</v>
      </c>
      <c r="C68" s="40">
        <f>+C61</f>
        <v>41247</v>
      </c>
      <c r="D68" s="41" t="s">
        <v>8</v>
      </c>
      <c r="F68" s="700"/>
      <c r="G68" s="695"/>
      <c r="H68" s="695"/>
      <c r="I68" s="695"/>
      <c r="J68" s="699"/>
    </row>
    <row r="69" spans="1:11">
      <c r="A69" s="42" t="s">
        <v>0</v>
      </c>
      <c r="B69" s="43">
        <v>208.93420599999999</v>
      </c>
      <c r="C69" s="43">
        <f>+C62</f>
        <v>208.463032</v>
      </c>
      <c r="D69" s="44">
        <f>+C69/B69-1</f>
        <v>-2.2551309764949901E-3</v>
      </c>
      <c r="F69" s="701"/>
      <c r="G69" s="702"/>
      <c r="H69" s="702"/>
      <c r="I69" s="702"/>
      <c r="J69" s="713"/>
      <c r="K69" s="726"/>
    </row>
    <row r="70" spans="1:11">
      <c r="A70" s="42" t="s">
        <v>11</v>
      </c>
      <c r="B70" s="43">
        <v>2.5920000000000001</v>
      </c>
      <c r="C70" s="43">
        <f>+C63</f>
        <v>2.5790000000000002</v>
      </c>
      <c r="D70" s="44">
        <f>+C70/B70-1</f>
        <v>-5.0154320987654266E-3</v>
      </c>
      <c r="K70" s="726"/>
    </row>
    <row r="71" spans="1:11">
      <c r="A71" s="42" t="s">
        <v>72</v>
      </c>
      <c r="B71" s="45">
        <v>355.86250000000001</v>
      </c>
      <c r="C71" s="43">
        <f>+C64</f>
        <v>358.5916666666667</v>
      </c>
      <c r="D71" s="44">
        <f>+C71/B71-1</f>
        <v>7.6691606074443808E-3</v>
      </c>
      <c r="J71" s="91" t="s">
        <v>367</v>
      </c>
      <c r="K71" s="726"/>
    </row>
    <row r="72" spans="1:11">
      <c r="A72" s="42" t="s">
        <v>73</v>
      </c>
      <c r="B72" s="45">
        <v>2039.2735769230769</v>
      </c>
      <c r="C72" s="43">
        <f>+C65</f>
        <v>2025.2735769230769</v>
      </c>
      <c r="D72" s="44">
        <f>+C72/B72-1</f>
        <v>-6.8651897216869262E-3</v>
      </c>
      <c r="F72" s="698"/>
      <c r="G72" s="696"/>
      <c r="H72" s="696"/>
      <c r="I72" s="696"/>
      <c r="J72" s="697"/>
      <c r="K72" s="726"/>
    </row>
    <row r="73" spans="1:11">
      <c r="A73" s="42" t="s">
        <v>265</v>
      </c>
      <c r="B73" s="48">
        <v>0</v>
      </c>
      <c r="C73" s="48">
        <f>Factores!DA121</f>
        <v>0</v>
      </c>
      <c r="D73" s="54">
        <f>+C73-B73</f>
        <v>0</v>
      </c>
      <c r="F73" s="700"/>
      <c r="G73" s="695"/>
      <c r="H73" s="695"/>
      <c r="I73" s="695"/>
      <c r="J73" s="699"/>
      <c r="K73" s="726"/>
    </row>
    <row r="74" spans="1:11">
      <c r="A74" s="42" t="s">
        <v>266</v>
      </c>
      <c r="B74" s="48">
        <v>0</v>
      </c>
      <c r="C74" s="48">
        <f>Factores!DA122</f>
        <v>0</v>
      </c>
      <c r="D74" s="54">
        <v>0</v>
      </c>
      <c r="F74" s="700"/>
      <c r="G74" s="695"/>
      <c r="H74" s="695"/>
      <c r="I74" s="695"/>
      <c r="J74" s="699"/>
      <c r="K74" s="726"/>
    </row>
    <row r="75" spans="1:11">
      <c r="F75" s="700"/>
      <c r="G75" s="695"/>
      <c r="H75" s="695"/>
      <c r="I75" s="695"/>
      <c r="J75" s="699"/>
      <c r="K75" s="726"/>
    </row>
    <row r="76" spans="1:11">
      <c r="A76" s="46" t="s">
        <v>717</v>
      </c>
      <c r="F76" s="700"/>
      <c r="G76" s="695"/>
      <c r="H76" s="695"/>
      <c r="I76" s="695"/>
      <c r="J76" s="699"/>
      <c r="K76" s="726"/>
    </row>
    <row r="77" spans="1:11">
      <c r="A77" s="39" t="s">
        <v>267</v>
      </c>
      <c r="B77" s="40">
        <v>41217</v>
      </c>
      <c r="C77" s="40">
        <f>+C68</f>
        <v>41247</v>
      </c>
      <c r="D77" s="41" t="s">
        <v>268</v>
      </c>
      <c r="F77" s="700"/>
      <c r="G77" s="695"/>
      <c r="H77" s="695"/>
      <c r="I77" s="695"/>
      <c r="J77" s="699"/>
      <c r="K77" s="726"/>
    </row>
    <row r="78" spans="1:11">
      <c r="A78" s="685" t="s">
        <v>93</v>
      </c>
      <c r="B78" s="715">
        <v>1.0469999999999998E-2</v>
      </c>
      <c r="C78" s="716">
        <f>+Factores!AS100</f>
        <v>1.0469999999999998E-2</v>
      </c>
      <c r="D78" s="717">
        <f>+C78-B78</f>
        <v>0</v>
      </c>
      <c r="F78" s="700"/>
      <c r="G78" s="695"/>
      <c r="H78" s="695"/>
      <c r="I78" s="695"/>
      <c r="J78" s="699"/>
      <c r="K78" s="726"/>
    </row>
    <row r="79" spans="1:11">
      <c r="A79" s="718" t="s">
        <v>94</v>
      </c>
      <c r="B79" s="715">
        <v>1.7885999999999999E-2</v>
      </c>
      <c r="C79" s="716">
        <f>+Factores!AS101</f>
        <v>1.7885999999999999E-2</v>
      </c>
      <c r="D79" s="717">
        <f t="shared" ref="D79:D87" si="4">+C79-B79</f>
        <v>0</v>
      </c>
      <c r="F79" s="700"/>
      <c r="G79" s="695"/>
      <c r="H79" s="695"/>
      <c r="I79" s="695"/>
      <c r="J79" s="699"/>
      <c r="K79" s="726"/>
    </row>
    <row r="80" spans="1:11">
      <c r="A80" s="685" t="s">
        <v>95</v>
      </c>
      <c r="B80" s="715">
        <v>2.0843999999999998E-2</v>
      </c>
      <c r="C80" s="716">
        <f>+Factores!AS102</f>
        <v>2.0843999999999998E-2</v>
      </c>
      <c r="D80" s="717">
        <f t="shared" si="4"/>
        <v>0</v>
      </c>
      <c r="F80" s="700"/>
      <c r="G80" s="695"/>
      <c r="H80" s="695"/>
      <c r="I80" s="695"/>
      <c r="J80" s="699"/>
      <c r="K80" s="726"/>
    </row>
    <row r="81" spans="1:11">
      <c r="A81" s="685" t="s">
        <v>96</v>
      </c>
      <c r="B81" s="715">
        <v>2.2380000000000001E-2</v>
      </c>
      <c r="C81" s="716">
        <f>+Factores!AS103</f>
        <v>2.2380000000000001E-2</v>
      </c>
      <c r="D81" s="717">
        <f t="shared" si="4"/>
        <v>0</v>
      </c>
      <c r="F81" s="700"/>
      <c r="G81" s="695"/>
      <c r="H81" s="695"/>
      <c r="I81" s="695"/>
      <c r="J81" s="699"/>
      <c r="K81" s="726"/>
    </row>
    <row r="82" spans="1:11">
      <c r="A82" s="685" t="s">
        <v>97</v>
      </c>
      <c r="B82" s="715">
        <v>1.9289999999999998E-2</v>
      </c>
      <c r="C82" s="716">
        <f>+Factores!AS104</f>
        <v>1.9289999999999998E-2</v>
      </c>
      <c r="D82" s="717">
        <f t="shared" si="4"/>
        <v>0</v>
      </c>
      <c r="F82" s="700"/>
      <c r="G82" s="695"/>
      <c r="H82" s="695"/>
      <c r="I82" s="695"/>
      <c r="J82" s="699"/>
      <c r="K82" s="726"/>
    </row>
    <row r="83" spans="1:11">
      <c r="A83" s="685" t="s">
        <v>98</v>
      </c>
      <c r="B83" s="715">
        <v>8.4599999999999996E-4</v>
      </c>
      <c r="C83" s="716">
        <f>+Factores!AS105</f>
        <v>8.4599999999999996E-4</v>
      </c>
      <c r="D83" s="717">
        <f t="shared" si="4"/>
        <v>0</v>
      </c>
      <c r="F83" s="700"/>
      <c r="G83" s="695"/>
      <c r="H83" s="695"/>
      <c r="I83" s="695"/>
      <c r="J83" s="699"/>
      <c r="K83" s="726"/>
    </row>
    <row r="84" spans="1:11">
      <c r="A84" s="685" t="s">
        <v>704</v>
      </c>
      <c r="B84" s="715">
        <v>4.3080000000000002E-3</v>
      </c>
      <c r="C84" s="716">
        <f>+Factores!AS106</f>
        <v>4.3080000000000002E-3</v>
      </c>
      <c r="D84" s="717">
        <f t="shared" si="4"/>
        <v>0</v>
      </c>
      <c r="F84" s="700"/>
      <c r="G84" s="695"/>
      <c r="H84" s="695"/>
      <c r="I84" s="695"/>
      <c r="J84" s="699"/>
      <c r="K84" s="726"/>
    </row>
    <row r="85" spans="1:11">
      <c r="A85" s="685" t="s">
        <v>705</v>
      </c>
      <c r="B85" s="715">
        <v>7.4399999999999996E-3</v>
      </c>
      <c r="C85" s="716">
        <f>+Factores!AS107</f>
        <v>7.4399999999999996E-3</v>
      </c>
      <c r="D85" s="717">
        <f t="shared" si="4"/>
        <v>0</v>
      </c>
      <c r="F85" s="700"/>
      <c r="G85" s="695"/>
      <c r="H85" s="695"/>
      <c r="I85" s="695"/>
      <c r="J85" s="699"/>
      <c r="K85" s="726"/>
    </row>
    <row r="86" spans="1:11">
      <c r="A86" s="685" t="s">
        <v>706</v>
      </c>
      <c r="B86" s="715">
        <v>4.3080000000000002E-3</v>
      </c>
      <c r="C86" s="716">
        <f>+Factores!AS108</f>
        <v>4.3080000000000002E-3</v>
      </c>
      <c r="D86" s="717">
        <f t="shared" si="4"/>
        <v>0</v>
      </c>
      <c r="F86" s="700"/>
      <c r="G86" s="695"/>
      <c r="H86" s="695"/>
      <c r="I86" s="695"/>
      <c r="J86" s="699"/>
      <c r="K86" s="726"/>
    </row>
    <row r="87" spans="1:11">
      <c r="A87" s="685" t="s">
        <v>707</v>
      </c>
      <c r="B87" s="715">
        <v>7.4399999999999996E-3</v>
      </c>
      <c r="C87" s="716">
        <f>+Factores!AS109</f>
        <v>7.4399999999999996E-3</v>
      </c>
      <c r="D87" s="717">
        <f t="shared" si="4"/>
        <v>0</v>
      </c>
      <c r="F87" s="701"/>
      <c r="G87" s="702"/>
      <c r="H87" s="702"/>
      <c r="I87" s="702"/>
      <c r="J87" s="713"/>
      <c r="K87" s="726"/>
    </row>
    <row r="89" spans="1:11" ht="18">
      <c r="A89" s="690" t="s">
        <v>364</v>
      </c>
      <c r="B89" s="690"/>
      <c r="C89" s="690"/>
      <c r="D89" s="690"/>
      <c r="E89" s="690"/>
      <c r="F89" s="690"/>
      <c r="G89" s="690"/>
      <c r="H89" s="690"/>
      <c r="I89" s="693"/>
      <c r="J89" s="693"/>
    </row>
    <row r="90" spans="1:11" ht="15">
      <c r="A90" s="691" t="s">
        <v>370</v>
      </c>
      <c r="B90" s="691"/>
      <c r="C90" s="691"/>
      <c r="D90" s="691"/>
      <c r="E90" s="691"/>
      <c r="F90" s="691"/>
      <c r="G90" s="691"/>
      <c r="H90" s="691"/>
      <c r="I90" s="692"/>
      <c r="J90" s="693"/>
    </row>
    <row r="91" spans="1:11" ht="12.75" customHeight="1"/>
    <row r="92" spans="1:11">
      <c r="C92" s="675">
        <v>41217</v>
      </c>
      <c r="D92" s="676"/>
      <c r="F92" s="675">
        <f>C18</f>
        <v>41247</v>
      </c>
      <c r="G92" s="676"/>
    </row>
    <row r="93" spans="1:11">
      <c r="C93" s="677" t="s">
        <v>327</v>
      </c>
      <c r="D93" s="678"/>
      <c r="F93" s="677" t="s">
        <v>327</v>
      </c>
      <c r="G93" s="678"/>
      <c r="I93" s="679" t="s">
        <v>365</v>
      </c>
      <c r="J93" s="680"/>
    </row>
    <row r="94" spans="1:11" ht="25.5">
      <c r="A94" s="674" t="s">
        <v>5</v>
      </c>
      <c r="B94" s="674" t="s">
        <v>52</v>
      </c>
      <c r="C94" s="87" t="s">
        <v>269</v>
      </c>
      <c r="D94" s="87" t="s">
        <v>53</v>
      </c>
      <c r="F94" s="87" t="s">
        <v>269</v>
      </c>
      <c r="G94" s="87" t="s">
        <v>53</v>
      </c>
      <c r="I94" s="87" t="s">
        <v>269</v>
      </c>
      <c r="J94" s="87" t="s">
        <v>53</v>
      </c>
    </row>
    <row r="95" spans="1:11">
      <c r="A95" s="88" t="s">
        <v>30</v>
      </c>
      <c r="B95" s="88" t="s">
        <v>55</v>
      </c>
      <c r="C95" s="727">
        <v>9.98</v>
      </c>
      <c r="D95" s="727">
        <v>6.8199999999999994</v>
      </c>
      <c r="E95" s="728"/>
      <c r="F95" s="729">
        <f>COMBUSTIBLES!K6</f>
        <v>9.629999999999999</v>
      </c>
      <c r="G95" s="729">
        <f>COMBUSTIBLES!L6</f>
        <v>6.55</v>
      </c>
      <c r="I95" s="673">
        <f>+F95/C95-1</f>
        <v>-3.5070140280561213E-2</v>
      </c>
      <c r="J95" s="673">
        <f>+G95/D95-1</f>
        <v>-3.9589442815249232E-2</v>
      </c>
    </row>
    <row r="96" spans="1:11">
      <c r="A96" s="88" t="s">
        <v>36</v>
      </c>
      <c r="B96" s="88" t="s">
        <v>57</v>
      </c>
      <c r="C96" s="727">
        <v>10.389999999999999</v>
      </c>
      <c r="D96" s="730"/>
      <c r="E96" s="728"/>
      <c r="F96" s="731">
        <f>COMBUSTIBLES!K7</f>
        <v>10.389999999999999</v>
      </c>
      <c r="G96" s="730"/>
      <c r="I96" s="89">
        <f>+F96/C96-1</f>
        <v>0</v>
      </c>
      <c r="J96" s="681"/>
    </row>
    <row r="97" spans="1:10">
      <c r="A97" s="88" t="s">
        <v>33</v>
      </c>
      <c r="B97" s="88" t="s">
        <v>56</v>
      </c>
      <c r="C97" s="727">
        <v>9.69</v>
      </c>
      <c r="D97" s="727">
        <v>7.54</v>
      </c>
      <c r="E97" s="728"/>
      <c r="F97" s="731">
        <f>COMBUSTIBLES!K8</f>
        <v>9.69</v>
      </c>
      <c r="G97" s="729">
        <f>COMBUSTIBLES!L8</f>
        <v>7.54</v>
      </c>
      <c r="I97" s="89">
        <f>+F97/C97-1</f>
        <v>0</v>
      </c>
      <c r="J97" s="673">
        <f>+G97/D97-1</f>
        <v>0</v>
      </c>
    </row>
    <row r="98" spans="1:10">
      <c r="A98" s="88" t="s">
        <v>368</v>
      </c>
      <c r="B98" s="88" t="s">
        <v>57</v>
      </c>
      <c r="C98" s="727">
        <v>10.389999999999999</v>
      </c>
      <c r="D98" s="730"/>
      <c r="E98" s="728"/>
      <c r="F98" s="731">
        <f>COMBUSTIBLES!K9</f>
        <v>10.389999999999999</v>
      </c>
      <c r="G98" s="730"/>
      <c r="I98" s="89">
        <f>+F98/C98-1</f>
        <v>0</v>
      </c>
      <c r="J98" s="681"/>
    </row>
    <row r="99" spans="1:10">
      <c r="A99" s="88" t="s">
        <v>34</v>
      </c>
      <c r="B99" s="88" t="s">
        <v>58</v>
      </c>
      <c r="C99" s="727">
        <v>10.89</v>
      </c>
      <c r="D99" s="730"/>
      <c r="E99" s="728"/>
      <c r="F99" s="731">
        <f>COMBUSTIBLES!K10</f>
        <v>10.89</v>
      </c>
      <c r="G99" s="730"/>
      <c r="I99" s="89">
        <f>+F99/C99-1</f>
        <v>0</v>
      </c>
      <c r="J99" s="681"/>
    </row>
    <row r="100" spans="1:10" s="719" customFormat="1">
      <c r="A100" s="686" t="s">
        <v>380</v>
      </c>
      <c r="B100" s="79"/>
      <c r="C100" s="79"/>
      <c r="D100" s="79"/>
      <c r="E100" s="79"/>
      <c r="F100" s="79"/>
      <c r="G100" s="79"/>
      <c r="H100" s="79"/>
    </row>
    <row r="101" spans="1:10" s="719" customFormat="1">
      <c r="A101" s="687" t="s">
        <v>374</v>
      </c>
      <c r="B101" s="79"/>
      <c r="C101" s="79"/>
      <c r="D101" s="79"/>
      <c r="E101" s="79"/>
      <c r="F101" s="79"/>
      <c r="G101" s="79"/>
      <c r="H101" s="79"/>
    </row>
    <row r="102" spans="1:10" s="719" customFormat="1">
      <c r="A102" s="687" t="s">
        <v>375</v>
      </c>
      <c r="B102" s="79"/>
      <c r="C102" s="79"/>
      <c r="D102" s="79"/>
      <c r="E102" s="79"/>
      <c r="F102" s="79"/>
      <c r="G102" s="79"/>
      <c r="H102" s="79"/>
    </row>
    <row r="103" spans="1:10" s="719" customFormat="1">
      <c r="A103" s="688" t="s">
        <v>376</v>
      </c>
      <c r="B103" s="79"/>
      <c r="C103" s="79"/>
      <c r="D103" s="79"/>
      <c r="E103" s="79"/>
      <c r="F103" s="79"/>
      <c r="G103" s="79"/>
      <c r="H103" s="79"/>
    </row>
    <row r="104" spans="1:10" s="719" customFormat="1">
      <c r="A104" s="686" t="s">
        <v>373</v>
      </c>
      <c r="B104" s="79"/>
      <c r="C104" s="79"/>
      <c r="D104" s="79"/>
      <c r="E104" s="79"/>
      <c r="F104" s="79"/>
      <c r="G104" s="79"/>
      <c r="H104" s="79"/>
    </row>
    <row r="105" spans="1:10" s="719" customFormat="1">
      <c r="A105" s="687" t="s">
        <v>377</v>
      </c>
      <c r="B105" s="79"/>
      <c r="C105" s="79"/>
      <c r="D105" s="79"/>
      <c r="E105" s="79"/>
      <c r="F105" s="79"/>
      <c r="G105" s="79"/>
      <c r="H105" s="79"/>
    </row>
    <row r="106" spans="1:10" s="719" customFormat="1">
      <c r="A106" s="687" t="s">
        <v>378</v>
      </c>
      <c r="B106" s="79"/>
      <c r="C106" s="79"/>
      <c r="D106" s="79"/>
      <c r="E106" s="79"/>
      <c r="F106" s="79"/>
      <c r="G106" s="79"/>
      <c r="H106" s="79"/>
    </row>
    <row r="107" spans="1:10" s="719" customFormat="1">
      <c r="A107" s="687" t="s">
        <v>379</v>
      </c>
      <c r="B107" s="79"/>
      <c r="C107" s="79"/>
      <c r="D107" s="79"/>
      <c r="E107" s="79"/>
      <c r="F107" s="79"/>
      <c r="G107" s="79"/>
      <c r="H107" s="79"/>
    </row>
    <row r="108" spans="1:10" s="719" customFormat="1">
      <c r="A108" s="686" t="s">
        <v>382</v>
      </c>
    </row>
    <row r="109" spans="1:10" s="719" customFormat="1">
      <c r="A109" s="687" t="s">
        <v>383</v>
      </c>
    </row>
    <row r="110" spans="1:10" s="719" customFormat="1">
      <c r="A110" s="687" t="s">
        <v>384</v>
      </c>
    </row>
    <row r="111" spans="1:10" s="719" customFormat="1">
      <c r="A111" s="689" t="s">
        <v>381</v>
      </c>
    </row>
    <row r="112" spans="1:10" s="719" customFormat="1">
      <c r="A112" s="689"/>
    </row>
    <row r="113" spans="1:10">
      <c r="B113" s="698"/>
      <c r="C113" s="696"/>
      <c r="D113" s="696"/>
      <c r="E113" s="696"/>
      <c r="F113" s="696"/>
      <c r="G113" s="697"/>
    </row>
    <row r="114" spans="1:10">
      <c r="A114" s="65"/>
      <c r="B114" s="700"/>
      <c r="C114" s="695"/>
      <c r="D114" s="695"/>
      <c r="E114" s="695"/>
      <c r="F114" s="695"/>
      <c r="G114" s="699"/>
    </row>
    <row r="115" spans="1:10">
      <c r="A115" s="65"/>
      <c r="B115" s="700"/>
      <c r="C115" s="695"/>
      <c r="D115" s="695"/>
      <c r="E115" s="695"/>
      <c r="F115" s="695"/>
      <c r="G115" s="699"/>
    </row>
    <row r="116" spans="1:10">
      <c r="A116" s="65"/>
      <c r="B116" s="700"/>
      <c r="C116" s="695"/>
      <c r="D116" s="695"/>
      <c r="E116" s="695"/>
      <c r="F116" s="695"/>
      <c r="G116" s="699"/>
    </row>
    <row r="117" spans="1:10">
      <c r="A117" s="65"/>
      <c r="B117" s="700"/>
      <c r="C117" s="695"/>
      <c r="D117" s="695"/>
      <c r="E117" s="695"/>
      <c r="F117" s="695"/>
      <c r="G117" s="699"/>
    </row>
    <row r="118" spans="1:10">
      <c r="A118" s="65"/>
      <c r="B118" s="700"/>
      <c r="C118" s="695"/>
      <c r="D118" s="695"/>
      <c r="E118" s="695"/>
      <c r="F118" s="695"/>
      <c r="G118" s="699"/>
    </row>
    <row r="119" spans="1:10">
      <c r="A119" s="65"/>
      <c r="B119" s="700"/>
      <c r="C119" s="695"/>
      <c r="D119" s="695"/>
      <c r="E119" s="695"/>
      <c r="F119" s="695"/>
      <c r="G119" s="699"/>
    </row>
    <row r="120" spans="1:10">
      <c r="A120" s="65"/>
      <c r="B120" s="700"/>
      <c r="C120" s="695"/>
      <c r="D120" s="695"/>
      <c r="E120" s="695"/>
      <c r="F120" s="695"/>
      <c r="G120" s="699"/>
    </row>
    <row r="121" spans="1:10">
      <c r="A121" s="65"/>
      <c r="B121" s="700"/>
      <c r="C121" s="695"/>
      <c r="D121" s="695"/>
      <c r="E121" s="695"/>
      <c r="F121" s="695"/>
      <c r="G121" s="699"/>
    </row>
    <row r="122" spans="1:10">
      <c r="A122" s="65"/>
      <c r="B122" s="700"/>
      <c r="C122" s="695"/>
      <c r="D122" s="695"/>
      <c r="E122" s="695"/>
      <c r="F122" s="695"/>
      <c r="G122" s="699"/>
    </row>
    <row r="123" spans="1:10">
      <c r="A123" s="65"/>
      <c r="B123" s="700"/>
      <c r="C123" s="695"/>
      <c r="D123" s="695"/>
      <c r="E123" s="695"/>
      <c r="F123" s="695"/>
      <c r="G123" s="699"/>
    </row>
    <row r="124" spans="1:10">
      <c r="A124" s="65"/>
      <c r="B124" s="700"/>
      <c r="C124" s="695"/>
      <c r="D124" s="695"/>
      <c r="E124" s="695"/>
      <c r="F124" s="695"/>
      <c r="G124" s="699"/>
    </row>
    <row r="125" spans="1:10">
      <c r="A125" s="65"/>
      <c r="B125" s="700"/>
      <c r="C125" s="695"/>
      <c r="D125" s="695"/>
      <c r="E125" s="695"/>
      <c r="F125" s="695"/>
      <c r="G125" s="699"/>
    </row>
    <row r="126" spans="1:10">
      <c r="A126" s="65"/>
      <c r="B126" s="701"/>
      <c r="C126" s="702"/>
      <c r="D126" s="702"/>
      <c r="E126" s="702"/>
      <c r="F126" s="702"/>
      <c r="G126" s="713"/>
    </row>
    <row r="128" spans="1:10" ht="18">
      <c r="A128" s="690" t="s">
        <v>719</v>
      </c>
      <c r="B128" s="690"/>
      <c r="C128" s="690"/>
      <c r="D128" s="690"/>
      <c r="E128" s="690"/>
      <c r="F128" s="690"/>
      <c r="G128" s="690"/>
      <c r="H128" s="690"/>
      <c r="I128" s="693"/>
      <c r="J128" s="693"/>
    </row>
    <row r="129" spans="1:10">
      <c r="A129" s="694" t="s">
        <v>708</v>
      </c>
      <c r="B129" s="694"/>
      <c r="C129" s="694"/>
      <c r="D129" s="694"/>
      <c r="E129" s="694"/>
      <c r="F129" s="694"/>
      <c r="G129" s="694"/>
      <c r="H129" s="694"/>
      <c r="I129" s="693"/>
      <c r="J129" s="693"/>
    </row>
    <row r="130" spans="1:10">
      <c r="A130" s="694" t="s">
        <v>709</v>
      </c>
      <c r="B130" s="694"/>
      <c r="C130" s="694"/>
      <c r="D130" s="694"/>
      <c r="E130" s="694"/>
      <c r="F130" s="694"/>
      <c r="G130" s="694"/>
      <c r="H130" s="694"/>
      <c r="I130" s="693"/>
      <c r="J130" s="693"/>
    </row>
    <row r="131" spans="1:10">
      <c r="A131" s="694" t="s">
        <v>710</v>
      </c>
      <c r="B131" s="694"/>
      <c r="C131" s="694"/>
      <c r="D131" s="694"/>
      <c r="E131" s="694"/>
      <c r="F131" s="694"/>
      <c r="G131" s="694"/>
      <c r="H131" s="694"/>
      <c r="I131" s="693"/>
      <c r="J131" s="693"/>
    </row>
    <row r="133" spans="1:10">
      <c r="A133" s="703" t="s">
        <v>389</v>
      </c>
      <c r="F133" s="703" t="s">
        <v>390</v>
      </c>
    </row>
    <row r="134" spans="1:10" ht="15">
      <c r="A134" s="704"/>
      <c r="B134" s="696"/>
      <c r="C134" s="696"/>
      <c r="D134" s="697"/>
      <c r="F134" s="698"/>
      <c r="G134" s="696"/>
      <c r="H134" s="696"/>
      <c r="I134" s="696"/>
      <c r="J134" s="697"/>
    </row>
    <row r="135" spans="1:10" ht="15">
      <c r="A135" s="705"/>
      <c r="B135" s="695"/>
      <c r="C135" s="695"/>
      <c r="D135" s="699"/>
      <c r="F135" s="700"/>
      <c r="G135" s="695"/>
      <c r="H135" s="695"/>
      <c r="I135" s="695"/>
      <c r="J135" s="699"/>
    </row>
    <row r="136" spans="1:10" ht="15">
      <c r="A136" s="705"/>
      <c r="B136" s="695"/>
      <c r="C136" s="695"/>
      <c r="D136" s="699"/>
      <c r="F136" s="700"/>
      <c r="G136" s="695"/>
      <c r="H136" s="695"/>
      <c r="I136" s="695"/>
      <c r="J136" s="699"/>
    </row>
    <row r="137" spans="1:10" ht="15">
      <c r="A137" s="705"/>
      <c r="B137" s="695"/>
      <c r="C137" s="695"/>
      <c r="D137" s="699"/>
      <c r="F137" s="700"/>
      <c r="G137" s="695"/>
      <c r="H137" s="695"/>
      <c r="I137" s="695"/>
      <c r="J137" s="699"/>
    </row>
    <row r="138" spans="1:10" ht="15">
      <c r="A138" s="705"/>
      <c r="B138" s="695"/>
      <c r="C138" s="695"/>
      <c r="D138" s="699"/>
      <c r="F138" s="700"/>
      <c r="G138" s="695"/>
      <c r="H138" s="695"/>
      <c r="I138" s="695"/>
      <c r="J138" s="699"/>
    </row>
    <row r="139" spans="1:10" ht="15">
      <c r="A139" s="705"/>
      <c r="B139" s="695"/>
      <c r="C139" s="695"/>
      <c r="D139" s="699"/>
      <c r="F139" s="700"/>
      <c r="G139" s="695"/>
      <c r="H139" s="695"/>
      <c r="I139" s="695"/>
      <c r="J139" s="699"/>
    </row>
    <row r="140" spans="1:10" ht="15">
      <c r="A140" s="705"/>
      <c r="B140" s="695"/>
      <c r="C140" s="695"/>
      <c r="D140" s="699"/>
      <c r="F140" s="701"/>
      <c r="G140" s="702"/>
      <c r="H140" s="702"/>
      <c r="I140" s="702"/>
      <c r="J140" s="713"/>
    </row>
    <row r="141" spans="1:10" ht="15">
      <c r="A141" s="705"/>
      <c r="B141" s="695"/>
      <c r="C141" s="695"/>
      <c r="D141" s="699"/>
      <c r="F141" s="703" t="s">
        <v>391</v>
      </c>
    </row>
    <row r="142" spans="1:10" ht="14.25">
      <c r="A142" s="706"/>
      <c r="B142" s="695"/>
      <c r="C142" s="695"/>
      <c r="D142" s="699"/>
      <c r="F142" s="698"/>
      <c r="G142" s="696"/>
      <c r="H142" s="696"/>
      <c r="I142" s="696"/>
      <c r="J142" s="697"/>
    </row>
    <row r="143" spans="1:10" ht="15">
      <c r="A143" s="705"/>
      <c r="B143" s="695"/>
      <c r="C143" s="695"/>
      <c r="D143" s="699"/>
      <c r="F143" s="700"/>
      <c r="G143" s="695"/>
      <c r="H143" s="695"/>
      <c r="I143" s="695"/>
      <c r="J143" s="699"/>
    </row>
    <row r="144" spans="1:10" ht="14.25">
      <c r="A144" s="720"/>
      <c r="B144" s="695"/>
      <c r="C144" s="695"/>
      <c r="D144" s="699"/>
      <c r="F144" s="700"/>
      <c r="G144" s="695"/>
      <c r="H144" s="695"/>
      <c r="I144" s="695"/>
      <c r="J144" s="699"/>
    </row>
    <row r="145" spans="1:10" ht="14.25">
      <c r="A145" s="720"/>
      <c r="B145" s="695"/>
      <c r="C145" s="695"/>
      <c r="D145" s="699"/>
      <c r="F145" s="700"/>
      <c r="G145" s="695"/>
      <c r="H145" s="695"/>
      <c r="I145" s="695"/>
      <c r="J145" s="699"/>
    </row>
    <row r="146" spans="1:10" ht="14.25">
      <c r="A146" s="720"/>
      <c r="B146" s="695"/>
      <c r="C146" s="695"/>
      <c r="D146" s="699"/>
      <c r="F146" s="700"/>
      <c r="G146" s="695"/>
      <c r="H146" s="695"/>
      <c r="I146" s="695"/>
      <c r="J146" s="699"/>
    </row>
    <row r="147" spans="1:10" ht="14.25">
      <c r="A147" s="720"/>
      <c r="B147" s="695"/>
      <c r="C147" s="695"/>
      <c r="D147" s="699"/>
      <c r="F147" s="700"/>
      <c r="G147" s="695"/>
      <c r="H147" s="695"/>
      <c r="I147" s="695"/>
      <c r="J147" s="699"/>
    </row>
    <row r="148" spans="1:10" ht="14.25">
      <c r="A148" s="720"/>
      <c r="B148" s="695"/>
      <c r="C148" s="695"/>
      <c r="D148" s="699"/>
      <c r="F148" s="700"/>
      <c r="G148" s="695"/>
      <c r="H148" s="695"/>
      <c r="I148" s="695"/>
      <c r="J148" s="699"/>
    </row>
    <row r="149" spans="1:10">
      <c r="A149" s="700"/>
      <c r="B149" s="695"/>
      <c r="C149" s="695"/>
      <c r="D149" s="699"/>
      <c r="F149" s="700"/>
      <c r="G149" s="695"/>
      <c r="H149" s="695"/>
      <c r="I149" s="695"/>
      <c r="J149" s="699"/>
    </row>
    <row r="150" spans="1:10" ht="14.25">
      <c r="A150" s="720"/>
      <c r="B150" s="695"/>
      <c r="C150" s="695"/>
      <c r="D150" s="699"/>
      <c r="F150" s="700"/>
      <c r="G150" s="695"/>
      <c r="H150" s="695"/>
      <c r="I150" s="695"/>
      <c r="J150" s="699"/>
    </row>
    <row r="151" spans="1:10" ht="15">
      <c r="A151" s="721"/>
      <c r="B151" s="702"/>
      <c r="C151" s="702"/>
      <c r="D151" s="713"/>
      <c r="F151" s="701"/>
      <c r="G151" s="702"/>
      <c r="H151" s="702"/>
      <c r="I151" s="702"/>
      <c r="J151" s="713"/>
    </row>
    <row r="152" spans="1:10" ht="14.25">
      <c r="A152" s="722"/>
    </row>
    <row r="153" spans="1:10">
      <c r="A153" s="698"/>
      <c r="B153" s="696"/>
      <c r="C153" s="696"/>
      <c r="D153" s="696"/>
      <c r="E153" s="696"/>
      <c r="F153" s="696"/>
      <c r="G153" s="696"/>
      <c r="H153" s="696"/>
      <c r="I153" s="696"/>
      <c r="J153" s="697"/>
    </row>
    <row r="154" spans="1:10">
      <c r="A154" s="700"/>
      <c r="B154" s="695"/>
      <c r="C154" s="695"/>
      <c r="D154" s="695"/>
      <c r="E154" s="695"/>
      <c r="F154" s="695"/>
      <c r="G154" s="695"/>
      <c r="H154" s="695"/>
      <c r="I154" s="695"/>
      <c r="J154" s="699"/>
    </row>
    <row r="155" spans="1:10">
      <c r="A155" s="700"/>
      <c r="B155" s="695"/>
      <c r="C155" s="695"/>
      <c r="D155" s="695"/>
      <c r="E155" s="695"/>
      <c r="F155" s="695"/>
      <c r="G155" s="695"/>
      <c r="H155" s="695"/>
      <c r="I155" s="695"/>
      <c r="J155" s="699"/>
    </row>
    <row r="156" spans="1:10">
      <c r="A156" s="700"/>
      <c r="B156" s="695"/>
      <c r="C156" s="695"/>
      <c r="D156" s="695"/>
      <c r="E156" s="695"/>
      <c r="F156" s="695"/>
      <c r="G156" s="695"/>
      <c r="H156" s="695"/>
      <c r="I156" s="695"/>
      <c r="J156" s="699"/>
    </row>
    <row r="157" spans="1:10">
      <c r="A157" s="700"/>
      <c r="B157" s="695"/>
      <c r="C157" s="695"/>
      <c r="D157" s="695"/>
      <c r="E157" s="695"/>
      <c r="F157" s="695"/>
      <c r="G157" s="695"/>
      <c r="H157" s="695"/>
      <c r="I157" s="695"/>
      <c r="J157" s="699"/>
    </row>
    <row r="158" spans="1:10">
      <c r="A158" s="700"/>
      <c r="B158" s="695"/>
      <c r="C158" s="695"/>
      <c r="D158" s="695"/>
      <c r="E158" s="695"/>
      <c r="F158" s="695"/>
      <c r="G158" s="695"/>
      <c r="H158" s="695"/>
      <c r="I158" s="695"/>
      <c r="J158" s="699"/>
    </row>
    <row r="159" spans="1:10">
      <c r="A159" s="700"/>
      <c r="B159" s="695"/>
      <c r="C159" s="695"/>
      <c r="D159" s="695"/>
      <c r="E159" s="695"/>
      <c r="F159" s="695"/>
      <c r="G159" s="695"/>
      <c r="H159" s="695"/>
      <c r="I159" s="695"/>
      <c r="J159" s="699"/>
    </row>
    <row r="160" spans="1:10">
      <c r="A160" s="700"/>
      <c r="B160" s="695"/>
      <c r="C160" s="695"/>
      <c r="D160" s="695"/>
      <c r="E160" s="695"/>
      <c r="F160" s="695"/>
      <c r="G160" s="695"/>
      <c r="H160" s="695"/>
      <c r="I160" s="695"/>
      <c r="J160" s="699"/>
    </row>
    <row r="161" spans="1:10">
      <c r="A161" s="700"/>
      <c r="B161" s="695"/>
      <c r="C161" s="695"/>
      <c r="D161" s="695"/>
      <c r="E161" s="695"/>
      <c r="F161" s="695"/>
      <c r="G161" s="695"/>
      <c r="H161" s="695"/>
      <c r="I161" s="695"/>
      <c r="J161" s="699"/>
    </row>
    <row r="162" spans="1:10">
      <c r="A162" s="700"/>
      <c r="B162" s="695"/>
      <c r="C162" s="695"/>
      <c r="D162" s="695"/>
      <c r="E162" s="695"/>
      <c r="F162" s="695"/>
      <c r="G162" s="695"/>
      <c r="H162" s="695"/>
      <c r="I162" s="695"/>
      <c r="J162" s="699"/>
    </row>
    <row r="163" spans="1:10">
      <c r="A163" s="700"/>
      <c r="B163" s="695"/>
      <c r="C163" s="695"/>
      <c r="D163" s="695"/>
      <c r="E163" s="695"/>
      <c r="F163" s="695"/>
      <c r="G163" s="695"/>
      <c r="H163" s="695"/>
      <c r="I163" s="695"/>
      <c r="J163" s="699"/>
    </row>
    <row r="164" spans="1:10">
      <c r="A164" s="700"/>
      <c r="B164" s="695"/>
      <c r="C164" s="695"/>
      <c r="D164" s="695"/>
      <c r="E164" s="695"/>
      <c r="F164" s="695"/>
      <c r="G164" s="695"/>
      <c r="H164" s="695"/>
      <c r="I164" s="695"/>
      <c r="J164" s="699"/>
    </row>
    <row r="165" spans="1:10">
      <c r="A165" s="700"/>
      <c r="B165" s="695"/>
      <c r="C165" s="695"/>
      <c r="D165" s="695"/>
      <c r="E165" s="695"/>
      <c r="F165" s="695"/>
      <c r="G165" s="695"/>
      <c r="H165" s="695"/>
      <c r="I165" s="695"/>
      <c r="J165" s="699"/>
    </row>
    <row r="166" spans="1:10">
      <c r="A166" s="700"/>
      <c r="B166" s="695"/>
      <c r="C166" s="695"/>
      <c r="D166" s="695"/>
      <c r="E166" s="695"/>
      <c r="F166" s="695"/>
      <c r="G166" s="695"/>
      <c r="H166" s="695"/>
      <c r="I166" s="695"/>
      <c r="J166" s="699"/>
    </row>
    <row r="167" spans="1:10">
      <c r="A167" s="700"/>
      <c r="B167" s="695"/>
      <c r="C167" s="695"/>
      <c r="D167" s="695"/>
      <c r="E167" s="695"/>
      <c r="F167" s="695"/>
      <c r="G167" s="695"/>
      <c r="H167" s="695"/>
      <c r="I167" s="695"/>
      <c r="J167" s="699"/>
    </row>
    <row r="168" spans="1:10">
      <c r="A168" s="700"/>
      <c r="B168" s="695"/>
      <c r="C168" s="695"/>
      <c r="D168" s="695"/>
      <c r="E168" s="695"/>
      <c r="F168" s="695"/>
      <c r="G168" s="695"/>
      <c r="H168" s="695"/>
      <c r="I168" s="695"/>
      <c r="J168" s="699"/>
    </row>
    <row r="169" spans="1:10">
      <c r="A169" s="700"/>
      <c r="B169" s="695"/>
      <c r="C169" s="695"/>
      <c r="D169" s="695"/>
      <c r="E169" s="695"/>
      <c r="F169" s="695"/>
      <c r="G169" s="695"/>
      <c r="H169" s="695"/>
      <c r="I169" s="695"/>
      <c r="J169" s="699"/>
    </row>
    <row r="170" spans="1:10">
      <c r="A170" s="700"/>
      <c r="B170" s="695"/>
      <c r="C170" s="695"/>
      <c r="D170" s="695"/>
      <c r="E170" s="695"/>
      <c r="F170" s="695"/>
      <c r="G170" s="695"/>
      <c r="H170" s="695"/>
      <c r="I170" s="695"/>
      <c r="J170" s="699"/>
    </row>
    <row r="171" spans="1:10">
      <c r="A171" s="700"/>
      <c r="B171" s="695"/>
      <c r="C171" s="695"/>
      <c r="D171" s="695"/>
      <c r="E171" s="695"/>
      <c r="F171" s="695"/>
      <c r="G171" s="695"/>
      <c r="H171" s="695"/>
      <c r="I171" s="695"/>
      <c r="J171" s="699"/>
    </row>
    <row r="172" spans="1:10">
      <c r="A172" s="700"/>
      <c r="B172" s="695"/>
      <c r="C172" s="695"/>
      <c r="D172" s="695"/>
      <c r="E172" s="695"/>
      <c r="F172" s="695"/>
      <c r="G172" s="695"/>
      <c r="H172" s="695"/>
      <c r="I172" s="695"/>
      <c r="J172" s="699"/>
    </row>
    <row r="173" spans="1:10">
      <c r="A173" s="700"/>
      <c r="B173" s="695"/>
      <c r="C173" s="695"/>
      <c r="D173" s="695"/>
      <c r="E173" s="695"/>
      <c r="F173" s="695"/>
      <c r="G173" s="695"/>
      <c r="H173" s="695"/>
      <c r="I173" s="695"/>
      <c r="J173" s="699"/>
    </row>
    <row r="174" spans="1:10">
      <c r="A174" s="700"/>
      <c r="B174" s="695"/>
      <c r="C174" s="695"/>
      <c r="D174" s="695"/>
      <c r="E174" s="695"/>
      <c r="F174" s="695"/>
      <c r="G174" s="695"/>
      <c r="H174" s="695"/>
      <c r="I174" s="695"/>
      <c r="J174" s="699"/>
    </row>
    <row r="175" spans="1:10">
      <c r="A175" s="700"/>
      <c r="B175" s="695"/>
      <c r="C175" s="695"/>
      <c r="D175" s="695"/>
      <c r="E175" s="695"/>
      <c r="F175" s="695"/>
      <c r="G175" s="695"/>
      <c r="H175" s="695"/>
      <c r="I175" s="695"/>
      <c r="J175" s="699"/>
    </row>
    <row r="176" spans="1:10">
      <c r="A176" s="700"/>
      <c r="B176" s="695"/>
      <c r="C176" s="695"/>
      <c r="D176" s="695"/>
      <c r="E176" s="695"/>
      <c r="F176" s="695"/>
      <c r="G176" s="695"/>
      <c r="H176" s="695"/>
      <c r="I176" s="695"/>
      <c r="J176" s="699"/>
    </row>
    <row r="177" spans="1:10">
      <c r="A177" s="700"/>
      <c r="B177" s="695"/>
      <c r="C177" s="695"/>
      <c r="D177" s="695"/>
      <c r="E177" s="695"/>
      <c r="F177" s="695"/>
      <c r="G177" s="695"/>
      <c r="H177" s="695"/>
      <c r="I177" s="695"/>
      <c r="J177" s="699"/>
    </row>
    <row r="178" spans="1:10">
      <c r="A178" s="700"/>
      <c r="B178" s="695"/>
      <c r="C178" s="695"/>
      <c r="D178" s="695"/>
      <c r="E178" s="695"/>
      <c r="F178" s="695"/>
      <c r="G178" s="695"/>
      <c r="H178" s="695"/>
      <c r="I178" s="695"/>
      <c r="J178" s="699"/>
    </row>
    <row r="179" spans="1:10">
      <c r="A179" s="700"/>
      <c r="B179" s="695"/>
      <c r="C179" s="695"/>
      <c r="D179" s="695"/>
      <c r="E179" s="695"/>
      <c r="F179" s="695"/>
      <c r="G179" s="695"/>
      <c r="H179" s="695"/>
      <c r="I179" s="695"/>
      <c r="J179" s="699"/>
    </row>
    <row r="180" spans="1:10">
      <c r="A180" s="700"/>
      <c r="B180" s="695"/>
      <c r="C180" s="695"/>
      <c r="D180" s="695"/>
      <c r="E180" s="695"/>
      <c r="F180" s="695"/>
      <c r="G180" s="695"/>
      <c r="H180" s="695"/>
      <c r="I180" s="695"/>
      <c r="J180" s="699"/>
    </row>
    <row r="181" spans="1:10">
      <c r="A181" s="700"/>
      <c r="B181" s="695"/>
      <c r="C181" s="695"/>
      <c r="D181" s="695"/>
      <c r="E181" s="695"/>
      <c r="F181" s="695"/>
      <c r="G181" s="695"/>
      <c r="H181" s="695"/>
      <c r="I181" s="695"/>
      <c r="J181" s="699"/>
    </row>
    <row r="182" spans="1:10">
      <c r="A182" s="700"/>
      <c r="B182" s="695"/>
      <c r="C182" s="695"/>
      <c r="D182" s="695"/>
      <c r="E182" s="695"/>
      <c r="F182" s="695"/>
      <c r="G182" s="695"/>
      <c r="H182" s="695"/>
      <c r="I182" s="695"/>
      <c r="J182" s="699"/>
    </row>
  </sheetData>
  <mergeCells count="1">
    <mergeCell ref="B12:C12"/>
  </mergeCells>
  <phoneticPr fontId="12" type="noConversion"/>
  <conditionalFormatting sqref="B7:C7 B9:C10">
    <cfRule type="cellIs" dxfId="99" priority="15" operator="equal">
      <formula>-0.05</formula>
    </cfRule>
    <cfRule type="cellIs" dxfId="98" priority="16" operator="equal">
      <formula>0.05</formula>
    </cfRule>
    <cfRule type="cellIs" dxfId="97" priority="17" operator="notBetween">
      <formula>-0.05</formula>
      <formula>0.05</formula>
    </cfRule>
  </conditionalFormatting>
  <conditionalFormatting sqref="B11:C11">
    <cfRule type="cellIs" dxfId="96" priority="12" operator="equal">
      <formula>-0.015</formula>
    </cfRule>
    <cfRule type="cellIs" dxfId="95" priority="13" operator="equal">
      <formula>0.015</formula>
    </cfRule>
    <cfRule type="cellIs" dxfId="94" priority="14" operator="notBetween">
      <formula>-0.015</formula>
      <formula>0.015</formula>
    </cfRule>
  </conditionalFormatting>
  <conditionalFormatting sqref="B12">
    <cfRule type="cellIs" dxfId="93" priority="9" operator="equal">
      <formula>-0.01</formula>
    </cfRule>
    <cfRule type="cellIs" dxfId="92" priority="10" operator="equal">
      <formula>0.01</formula>
    </cfRule>
    <cfRule type="cellIs" dxfId="91" priority="11" operator="notBetween">
      <formula>-0.01</formula>
      <formula>0.01</formula>
    </cfRule>
  </conditionalFormatting>
  <conditionalFormatting sqref="B8:C8">
    <cfRule type="cellIs" dxfId="90" priority="4" operator="notBetween">
      <formula>-0.015</formula>
      <formula>0.015</formula>
    </cfRule>
    <cfRule type="cellIs" dxfId="89" priority="5" operator="equal">
      <formula>0.015</formula>
    </cfRule>
    <cfRule type="cellIs" dxfId="88" priority="6" operator="equal">
      <formula>-0.015</formula>
    </cfRule>
  </conditionalFormatting>
  <printOptions horizontalCentered="1"/>
  <pageMargins left="0.78740157480314965" right="0.78740157480314965" top="0.78740157480314965" bottom="0.59055118110236227" header="0" footer="0"/>
  <pageSetup paperSize="9" scale="60" fitToHeight="2" orientation="portrait" horizontalDpi="1200" verticalDpi="1200" r:id="rId1"/>
  <headerFooter alignWithMargins="0"/>
  <rowBreaks count="1" manualBreakCount="1">
    <brk id="88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00" workbookViewId="0"/>
  </sheetViews>
  <sheetFormatPr baseColWidth="10" defaultColWidth="11.5546875" defaultRowHeight="15"/>
  <cols>
    <col min="1" max="1" width="19.77734375" style="199" customWidth="1"/>
    <col min="2" max="4" width="10.21875" style="199" customWidth="1"/>
    <col min="5" max="5" width="9.109375" style="199" customWidth="1"/>
    <col min="6" max="7" width="14" style="199" customWidth="1"/>
    <col min="8" max="16384" width="11.5546875" style="199"/>
  </cols>
  <sheetData>
    <row r="1" spans="1:16" ht="52.5">
      <c r="A1" s="383" t="s">
        <v>619</v>
      </c>
      <c r="B1" s="384"/>
      <c r="C1" s="384"/>
      <c r="D1" s="384"/>
      <c r="E1" s="385"/>
      <c r="F1" s="385"/>
      <c r="G1" s="385"/>
    </row>
    <row r="2" spans="1:16" ht="15.75">
      <c r="A2" s="191"/>
      <c r="B2" s="189"/>
      <c r="C2" s="189"/>
      <c r="D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6" ht="54">
      <c r="A3" s="393" t="s">
        <v>735</v>
      </c>
      <c r="B3" s="394"/>
      <c r="C3" s="394"/>
      <c r="D3" s="394"/>
      <c r="E3" s="394"/>
      <c r="F3" s="382"/>
      <c r="G3" s="382"/>
      <c r="M3" s="368"/>
      <c r="N3" s="368"/>
      <c r="O3" s="368"/>
      <c r="P3" s="368"/>
    </row>
    <row r="4" spans="1:16" ht="18">
      <c r="A4" s="380"/>
      <c r="B4" s="381"/>
      <c r="C4" s="381"/>
      <c r="D4" s="381"/>
      <c r="E4" s="382"/>
      <c r="F4" s="382"/>
      <c r="G4" s="382"/>
      <c r="M4" s="368"/>
      <c r="N4" s="368"/>
      <c r="O4" s="368"/>
      <c r="P4" s="368"/>
    </row>
    <row r="5" spans="1:16" ht="18">
      <c r="A5" s="380"/>
      <c r="B5" s="844" t="s">
        <v>636</v>
      </c>
      <c r="C5" s="844"/>
      <c r="D5" s="844"/>
      <c r="E5" s="386"/>
      <c r="F5" s="844" t="s">
        <v>637</v>
      </c>
      <c r="G5" s="844"/>
      <c r="M5" s="368"/>
      <c r="N5" s="368"/>
      <c r="O5" s="368"/>
      <c r="P5" s="368"/>
    </row>
    <row r="6" spans="1:16" ht="18">
      <c r="A6" s="380"/>
      <c r="B6" s="381"/>
      <c r="C6" s="381"/>
      <c r="D6" s="381"/>
      <c r="E6" s="382"/>
      <c r="F6" s="382"/>
      <c r="G6" s="382"/>
      <c r="M6" s="368"/>
      <c r="N6" s="368"/>
      <c r="O6" s="368"/>
      <c r="P6" s="368"/>
    </row>
    <row r="7" spans="1:16" ht="18">
      <c r="A7" s="387" t="s">
        <v>255</v>
      </c>
      <c r="B7" s="388"/>
      <c r="C7" s="388"/>
      <c r="D7" s="388"/>
      <c r="E7" s="388"/>
      <c r="F7" s="388"/>
      <c r="G7" s="388"/>
    </row>
    <row r="8" spans="1:16">
      <c r="E8" s="369"/>
    </row>
    <row r="9" spans="1:16">
      <c r="A9" s="371" t="s">
        <v>257</v>
      </c>
      <c r="B9" s="378" t="s">
        <v>633</v>
      </c>
      <c r="C9" s="378" t="s">
        <v>634</v>
      </c>
      <c r="D9" s="36" t="s">
        <v>635</v>
      </c>
      <c r="E9" s="369"/>
      <c r="F9" s="379" t="s">
        <v>632</v>
      </c>
      <c r="G9" s="227" t="s">
        <v>570</v>
      </c>
    </row>
    <row r="10" spans="1:16">
      <c r="A10" s="36">
        <v>1</v>
      </c>
      <c r="B10" s="113">
        <v>1</v>
      </c>
      <c r="C10" s="36">
        <v>1.0219</v>
      </c>
      <c r="D10" s="36">
        <v>1.0277000000000001</v>
      </c>
      <c r="E10" s="372"/>
      <c r="F10" s="373">
        <f t="shared" ref="F10:F23" si="0">IF(B10=1,D10,D10/C10)</f>
        <v>1.0277000000000001</v>
      </c>
      <c r="G10" s="374">
        <f t="shared" ref="G10:G23" si="1">D10</f>
        <v>1.0277000000000001</v>
      </c>
    </row>
    <row r="11" spans="1:16">
      <c r="A11" s="36">
        <v>2</v>
      </c>
      <c r="B11" s="113">
        <v>1.0009999999999999</v>
      </c>
      <c r="C11" s="36">
        <v>1.0239</v>
      </c>
      <c r="D11" s="36">
        <v>1.0303</v>
      </c>
      <c r="E11" s="372"/>
      <c r="F11" s="373">
        <f t="shared" si="0"/>
        <v>1.006250610411173</v>
      </c>
      <c r="G11" s="374">
        <f t="shared" si="1"/>
        <v>1.0303</v>
      </c>
    </row>
    <row r="12" spans="1:16">
      <c r="A12" s="36">
        <v>3</v>
      </c>
      <c r="B12" s="113">
        <v>1.0041</v>
      </c>
      <c r="C12" s="36">
        <v>1.0181</v>
      </c>
      <c r="D12" s="36">
        <v>1.0230999999999999</v>
      </c>
      <c r="E12" s="372"/>
      <c r="F12" s="373">
        <f t="shared" si="0"/>
        <v>1.004911108928396</v>
      </c>
      <c r="G12" s="374">
        <f t="shared" si="1"/>
        <v>1.0230999999999999</v>
      </c>
    </row>
    <row r="13" spans="1:16">
      <c r="A13" s="36">
        <v>4</v>
      </c>
      <c r="B13" s="113">
        <v>1</v>
      </c>
      <c r="C13" s="36">
        <v>1.012</v>
      </c>
      <c r="D13" s="36">
        <v>1.0163</v>
      </c>
      <c r="E13" s="369"/>
      <c r="F13" s="373">
        <f t="shared" si="0"/>
        <v>1.0163</v>
      </c>
      <c r="G13" s="374">
        <f t="shared" si="1"/>
        <v>1.0163</v>
      </c>
      <c r="H13" s="199" t="s">
        <v>258</v>
      </c>
    </row>
    <row r="14" spans="1:16">
      <c r="A14" s="36">
        <v>5</v>
      </c>
      <c r="B14" s="113">
        <v>1.0014000000000001</v>
      </c>
      <c r="C14" s="36">
        <v>1.0185</v>
      </c>
      <c r="D14" s="36">
        <v>1.0247999999999999</v>
      </c>
      <c r="E14" s="369"/>
      <c r="F14" s="373">
        <f t="shared" si="0"/>
        <v>1.0061855670103093</v>
      </c>
      <c r="G14" s="374">
        <f t="shared" si="1"/>
        <v>1.0247999999999999</v>
      </c>
    </row>
    <row r="15" spans="1:16">
      <c r="A15" s="36">
        <v>6</v>
      </c>
      <c r="B15" s="113">
        <v>1.0011000000000001</v>
      </c>
      <c r="C15" s="36">
        <v>1.0147999999999999</v>
      </c>
      <c r="D15" s="36">
        <v>1.0224</v>
      </c>
      <c r="E15" s="369"/>
      <c r="F15" s="373">
        <f t="shared" si="0"/>
        <v>1.0074891604256997</v>
      </c>
      <c r="G15" s="374">
        <f t="shared" si="1"/>
        <v>1.0224</v>
      </c>
    </row>
    <row r="16" spans="1:16">
      <c r="A16" s="227">
        <v>7</v>
      </c>
      <c r="B16" s="240">
        <v>1.0016</v>
      </c>
      <c r="C16" s="227">
        <v>1.0195000000000001</v>
      </c>
      <c r="D16" s="227">
        <v>1.0266</v>
      </c>
      <c r="E16" s="369"/>
      <c r="F16" s="373">
        <f t="shared" si="0"/>
        <v>1.0069641981363413</v>
      </c>
      <c r="G16" s="375">
        <f t="shared" si="1"/>
        <v>1.0266</v>
      </c>
    </row>
    <row r="17" spans="1:7">
      <c r="A17" s="36">
        <v>8</v>
      </c>
      <c r="B17" s="113">
        <v>1</v>
      </c>
      <c r="C17" s="36">
        <v>1.0315000000000001</v>
      </c>
      <c r="D17" s="36">
        <v>1.0358000000000001</v>
      </c>
      <c r="E17" s="369"/>
      <c r="F17" s="373">
        <f t="shared" si="0"/>
        <v>1.0358000000000001</v>
      </c>
      <c r="G17" s="374">
        <f t="shared" si="1"/>
        <v>1.0358000000000001</v>
      </c>
    </row>
    <row r="18" spans="1:7">
      <c r="A18" s="36">
        <v>9</v>
      </c>
      <c r="B18" s="113">
        <v>1.0028999999999999</v>
      </c>
      <c r="C18" s="36">
        <v>1.0265</v>
      </c>
      <c r="D18" s="36">
        <v>1.0327</v>
      </c>
      <c r="E18" s="369"/>
      <c r="F18" s="373">
        <f t="shared" si="0"/>
        <v>1.0060399415489527</v>
      </c>
      <c r="G18" s="374">
        <f t="shared" si="1"/>
        <v>1.0327</v>
      </c>
    </row>
    <row r="19" spans="1:7">
      <c r="A19" s="36">
        <v>10</v>
      </c>
      <c r="B19" s="113">
        <v>1.0022</v>
      </c>
      <c r="C19" s="36">
        <v>1.0094000000000001</v>
      </c>
      <c r="D19" s="36">
        <v>1.0139</v>
      </c>
      <c r="E19" s="369"/>
      <c r="F19" s="373">
        <f t="shared" si="0"/>
        <v>1.0044580939171786</v>
      </c>
      <c r="G19" s="374">
        <f t="shared" si="1"/>
        <v>1.0139</v>
      </c>
    </row>
    <row r="20" spans="1:7">
      <c r="A20" s="36">
        <v>11</v>
      </c>
      <c r="B20" s="113">
        <v>1</v>
      </c>
      <c r="C20" s="36">
        <v>1.0239</v>
      </c>
      <c r="D20" s="36">
        <v>1.0266999999999999</v>
      </c>
      <c r="E20" s="369"/>
      <c r="F20" s="373">
        <f t="shared" si="0"/>
        <v>1.0266999999999999</v>
      </c>
      <c r="G20" s="374">
        <f t="shared" si="1"/>
        <v>1.0266999999999999</v>
      </c>
    </row>
    <row r="21" spans="1:7">
      <c r="A21" s="36">
        <v>12</v>
      </c>
      <c r="B21" s="113">
        <v>1</v>
      </c>
      <c r="C21" s="36">
        <v>1.0004999999999999</v>
      </c>
      <c r="D21" s="36">
        <v>1.004</v>
      </c>
      <c r="E21" s="369"/>
      <c r="F21" s="373">
        <f t="shared" si="0"/>
        <v>1.004</v>
      </c>
      <c r="G21" s="374">
        <f t="shared" si="1"/>
        <v>1.004</v>
      </c>
    </row>
    <row r="22" spans="1:7">
      <c r="A22" s="36">
        <v>13</v>
      </c>
      <c r="B22" s="113">
        <v>1</v>
      </c>
      <c r="C22" s="36">
        <v>1.0168999999999999</v>
      </c>
      <c r="D22" s="36">
        <v>1.0275000000000001</v>
      </c>
      <c r="E22" s="369"/>
      <c r="F22" s="373">
        <f t="shared" si="0"/>
        <v>1.0275000000000001</v>
      </c>
      <c r="G22" s="374">
        <f t="shared" si="1"/>
        <v>1.0275000000000001</v>
      </c>
    </row>
    <row r="23" spans="1:7">
      <c r="A23" s="36">
        <v>14</v>
      </c>
      <c r="B23" s="113">
        <v>1</v>
      </c>
      <c r="C23" s="36">
        <v>1.0068999999999999</v>
      </c>
      <c r="D23" s="36">
        <v>1.0147999999999999</v>
      </c>
      <c r="F23" s="373">
        <f t="shared" si="0"/>
        <v>1.0147999999999999</v>
      </c>
      <c r="G23" s="374">
        <f t="shared" si="1"/>
        <v>1.0147999999999999</v>
      </c>
    </row>
    <row r="25" spans="1:7" ht="15.75">
      <c r="A25" s="389" t="s">
        <v>256</v>
      </c>
      <c r="B25" s="388"/>
      <c r="C25" s="388"/>
      <c r="D25" s="388"/>
      <c r="E25" s="388"/>
      <c r="F25" s="388"/>
      <c r="G25" s="388"/>
    </row>
    <row r="26" spans="1:7" ht="15.75">
      <c r="A26" s="370"/>
    </row>
    <row r="27" spans="1:7">
      <c r="A27" s="371" t="s">
        <v>257</v>
      </c>
      <c r="B27" s="378" t="s">
        <v>633</v>
      </c>
      <c r="C27" s="378" t="s">
        <v>634</v>
      </c>
      <c r="D27" s="36" t="s">
        <v>635</v>
      </c>
      <c r="F27" s="379" t="s">
        <v>632</v>
      </c>
      <c r="G27" s="379" t="s">
        <v>570</v>
      </c>
    </row>
    <row r="28" spans="1:7">
      <c r="A28" s="36">
        <v>1</v>
      </c>
      <c r="B28" s="113">
        <v>1</v>
      </c>
      <c r="C28" s="36">
        <v>1.0212000000000001</v>
      </c>
      <c r="D28" s="36">
        <v>1.0261</v>
      </c>
      <c r="F28" s="373">
        <f t="shared" ref="F28:F41" si="2">IF(B28=1,D28,D28/C28)</f>
        <v>1.0261</v>
      </c>
      <c r="G28" s="374">
        <f t="shared" ref="G28:G41" si="3">D28</f>
        <v>1.0261</v>
      </c>
    </row>
    <row r="29" spans="1:7">
      <c r="A29" s="36">
        <v>2</v>
      </c>
      <c r="B29" s="113">
        <v>1.0006999999999999</v>
      </c>
      <c r="C29" s="36">
        <v>1.0214000000000001</v>
      </c>
      <c r="D29" s="36">
        <v>1.0262</v>
      </c>
      <c r="F29" s="373">
        <f t="shared" si="2"/>
        <v>1.0046994321519482</v>
      </c>
      <c r="G29" s="374">
        <f t="shared" si="3"/>
        <v>1.0262</v>
      </c>
    </row>
    <row r="30" spans="1:7">
      <c r="A30" s="36">
        <v>3</v>
      </c>
      <c r="B30" s="113">
        <v>1.0029999999999999</v>
      </c>
      <c r="C30" s="36">
        <v>1.0145</v>
      </c>
      <c r="D30" s="36">
        <v>1.0186999999999999</v>
      </c>
      <c r="F30" s="373">
        <f t="shared" si="2"/>
        <v>1.0041399704287826</v>
      </c>
      <c r="G30" s="374">
        <f t="shared" si="3"/>
        <v>1.0186999999999999</v>
      </c>
    </row>
    <row r="31" spans="1:7">
      <c r="A31" s="36">
        <v>4</v>
      </c>
      <c r="B31" s="113">
        <v>1</v>
      </c>
      <c r="C31" s="36">
        <v>1.008</v>
      </c>
      <c r="D31" s="36">
        <v>1.0107999999999999</v>
      </c>
      <c r="F31" s="373">
        <f t="shared" si="2"/>
        <v>1.0107999999999999</v>
      </c>
      <c r="G31" s="374">
        <f t="shared" si="3"/>
        <v>1.0107999999999999</v>
      </c>
    </row>
    <row r="32" spans="1:7">
      <c r="A32" s="36">
        <v>5</v>
      </c>
      <c r="B32" s="113">
        <v>1.0013000000000001</v>
      </c>
      <c r="C32" s="36">
        <v>1.0164</v>
      </c>
      <c r="D32" s="36">
        <v>1.0224</v>
      </c>
      <c r="F32" s="373">
        <f t="shared" si="2"/>
        <v>1.0059031877213696</v>
      </c>
      <c r="G32" s="374">
        <f t="shared" si="3"/>
        <v>1.0224</v>
      </c>
    </row>
    <row r="33" spans="1:7">
      <c r="A33" s="36">
        <v>6</v>
      </c>
      <c r="B33" s="113">
        <v>1.0009999999999999</v>
      </c>
      <c r="C33" s="36">
        <v>1.0128999999999999</v>
      </c>
      <c r="D33" s="36">
        <v>1.0196000000000001</v>
      </c>
      <c r="F33" s="373">
        <f t="shared" si="2"/>
        <v>1.0066146707473591</v>
      </c>
      <c r="G33" s="374">
        <f t="shared" si="3"/>
        <v>1.0196000000000001</v>
      </c>
    </row>
    <row r="34" spans="1:7">
      <c r="A34" s="227">
        <v>7</v>
      </c>
      <c r="B34" s="240">
        <v>1.0017</v>
      </c>
      <c r="C34" s="227">
        <v>1.0197000000000001</v>
      </c>
      <c r="D34" s="227">
        <v>1.0269999999999999</v>
      </c>
      <c r="F34" s="373">
        <f t="shared" si="2"/>
        <v>1.0071589683240167</v>
      </c>
      <c r="G34" s="375">
        <f t="shared" si="3"/>
        <v>1.0269999999999999</v>
      </c>
    </row>
    <row r="35" spans="1:7">
      <c r="A35" s="36">
        <v>8</v>
      </c>
      <c r="B35" s="113">
        <v>1</v>
      </c>
      <c r="C35" s="36">
        <v>1.0313000000000001</v>
      </c>
      <c r="D35" s="36">
        <v>1.0345</v>
      </c>
      <c r="F35" s="373">
        <f t="shared" si="2"/>
        <v>1.0345</v>
      </c>
      <c r="G35" s="374">
        <f t="shared" si="3"/>
        <v>1.0345</v>
      </c>
    </row>
    <row r="36" spans="1:7">
      <c r="A36" s="36">
        <v>9</v>
      </c>
      <c r="B36" s="113">
        <v>1.0026999999999999</v>
      </c>
      <c r="C36" s="36">
        <v>1.0235000000000001</v>
      </c>
      <c r="D36" s="36">
        <v>1.0291999999999999</v>
      </c>
      <c r="F36" s="373">
        <f t="shared" si="2"/>
        <v>1.0055691255495847</v>
      </c>
      <c r="G36" s="374">
        <f t="shared" si="3"/>
        <v>1.0291999999999999</v>
      </c>
    </row>
    <row r="37" spans="1:7">
      <c r="A37" s="36">
        <v>10</v>
      </c>
      <c r="B37" s="113">
        <v>1.0015000000000001</v>
      </c>
      <c r="C37" s="36">
        <v>1.0076000000000001</v>
      </c>
      <c r="D37" s="36">
        <v>1.0126999999999999</v>
      </c>
      <c r="F37" s="373">
        <f t="shared" si="2"/>
        <v>1.0050615323541086</v>
      </c>
      <c r="G37" s="374">
        <f t="shared" si="3"/>
        <v>1.0126999999999999</v>
      </c>
    </row>
    <row r="38" spans="1:7">
      <c r="A38" s="36">
        <v>11</v>
      </c>
      <c r="B38" s="113">
        <v>1</v>
      </c>
      <c r="C38" s="36">
        <v>1.0147999999999999</v>
      </c>
      <c r="D38" s="36">
        <v>1.0165999999999999</v>
      </c>
      <c r="F38" s="373">
        <f t="shared" si="2"/>
        <v>1.0165999999999999</v>
      </c>
      <c r="G38" s="374">
        <f t="shared" si="3"/>
        <v>1.0165999999999999</v>
      </c>
    </row>
    <row r="39" spans="1:7">
      <c r="A39" s="36">
        <v>12</v>
      </c>
      <c r="B39" s="113">
        <v>1</v>
      </c>
      <c r="C39" s="36">
        <v>1.0002</v>
      </c>
      <c r="D39" s="36">
        <v>1.0043</v>
      </c>
      <c r="F39" s="373">
        <f t="shared" si="2"/>
        <v>1.0043</v>
      </c>
      <c r="G39" s="374">
        <f t="shared" si="3"/>
        <v>1.0043</v>
      </c>
    </row>
    <row r="40" spans="1:7">
      <c r="A40" s="36">
        <v>13</v>
      </c>
      <c r="B40" s="113">
        <v>1</v>
      </c>
      <c r="C40" s="36">
        <v>1.0103</v>
      </c>
      <c r="D40" s="36">
        <v>1.0179</v>
      </c>
      <c r="F40" s="373">
        <f t="shared" si="2"/>
        <v>1.0179</v>
      </c>
      <c r="G40" s="374">
        <f t="shared" si="3"/>
        <v>1.0179</v>
      </c>
    </row>
    <row r="41" spans="1:7">
      <c r="A41" s="36">
        <v>14</v>
      </c>
      <c r="B41" s="113">
        <v>1</v>
      </c>
      <c r="C41" s="36">
        <v>1.0059</v>
      </c>
      <c r="D41" s="36">
        <v>1.0121</v>
      </c>
      <c r="F41" s="373">
        <f t="shared" si="2"/>
        <v>1.0121</v>
      </c>
      <c r="G41" s="374">
        <f t="shared" si="3"/>
        <v>1.0121</v>
      </c>
    </row>
    <row r="42" spans="1:7">
      <c r="A42" s="212"/>
      <c r="B42" s="214"/>
      <c r="C42" s="212"/>
      <c r="D42" s="212"/>
      <c r="F42" s="376"/>
      <c r="G42" s="377"/>
    </row>
    <row r="43" spans="1:7" ht="60">
      <c r="A43" s="200" t="s">
        <v>736</v>
      </c>
      <c r="B43" s="200"/>
      <c r="C43" s="200"/>
      <c r="D43" s="200"/>
      <c r="E43" s="200"/>
      <c r="F43" s="200"/>
      <c r="G43" s="200"/>
    </row>
  </sheetData>
  <mergeCells count="2">
    <mergeCell ref="B5:D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zoomScaleNormal="100" zoomScaleSheetLayoutView="70" workbookViewId="0">
      <selection sqref="A1:K1"/>
    </sheetView>
  </sheetViews>
  <sheetFormatPr baseColWidth="10" defaultColWidth="9.6640625" defaultRowHeight="15"/>
  <cols>
    <col min="1" max="1" width="42.77734375" style="120" customWidth="1"/>
    <col min="2" max="2" width="14.21875" style="120" customWidth="1"/>
    <col min="3" max="5" width="17.33203125" style="128" customWidth="1"/>
    <col min="6" max="6" width="3" style="120" customWidth="1"/>
    <col min="7" max="7" width="33.77734375" style="120" customWidth="1"/>
    <col min="8" max="8" width="10.6640625" style="120" customWidth="1"/>
    <col min="9" max="11" width="17.88671875" style="128" customWidth="1"/>
    <col min="12" max="12" width="13.109375" style="128" customWidth="1"/>
    <col min="13" max="13" width="15.109375" style="128" customWidth="1"/>
    <col min="14" max="14" width="14.5546875" style="128" customWidth="1"/>
    <col min="15" max="16384" width="9.6640625" style="120"/>
  </cols>
  <sheetData>
    <row r="1" spans="1:14" s="119" customFormat="1" ht="63" customHeight="1">
      <c r="A1" s="845" t="s">
        <v>603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120"/>
      <c r="M1" s="120"/>
      <c r="N1" s="120"/>
    </row>
    <row r="2" spans="1:14" ht="15.75">
      <c r="A2" s="137"/>
      <c r="B2" s="137"/>
      <c r="C2" s="137"/>
      <c r="D2" s="137"/>
      <c r="E2" s="137"/>
      <c r="G2" s="137"/>
      <c r="H2" s="137"/>
      <c r="I2" s="145"/>
      <c r="J2" s="145"/>
      <c r="K2" s="145"/>
      <c r="L2" s="120"/>
      <c r="M2" s="120"/>
      <c r="N2" s="120"/>
    </row>
    <row r="3" spans="1:14" s="119" customFormat="1" ht="27.75">
      <c r="A3" s="846" t="s">
        <v>587</v>
      </c>
      <c r="B3" s="846"/>
      <c r="C3" s="846"/>
      <c r="D3" s="846"/>
      <c r="E3" s="846"/>
      <c r="G3" s="846" t="str">
        <f>CONCATENATE("ACTUALIZADO AL ",TEXT(Historico!O5,"DD/MMMM/YYYY"))</f>
        <v>ACTUALIZADO AL 04/diciembre/2012</v>
      </c>
      <c r="H3" s="846"/>
      <c r="I3" s="846"/>
      <c r="J3" s="846"/>
      <c r="K3" s="846"/>
      <c r="L3" s="120"/>
      <c r="M3" s="120"/>
      <c r="N3" s="120"/>
    </row>
    <row r="4" spans="1:14" ht="16.5" thickBot="1">
      <c r="A4" s="137"/>
      <c r="B4" s="137"/>
      <c r="C4" s="137"/>
      <c r="D4" s="137"/>
      <c r="E4" s="137"/>
      <c r="G4" s="137"/>
      <c r="H4" s="137"/>
      <c r="I4" s="145"/>
      <c r="J4" s="145"/>
      <c r="K4" s="145"/>
      <c r="L4" s="120"/>
      <c r="M4" s="120"/>
      <c r="N4" s="120"/>
    </row>
    <row r="5" spans="1:14" s="119" customFormat="1" ht="15.75">
      <c r="B5" s="121" t="s">
        <v>492</v>
      </c>
      <c r="C5" s="139" t="s">
        <v>493</v>
      </c>
      <c r="D5" s="139" t="s">
        <v>494</v>
      </c>
      <c r="E5" s="139" t="s">
        <v>495</v>
      </c>
      <c r="H5" s="121" t="s">
        <v>492</v>
      </c>
      <c r="I5" s="148" t="s">
        <v>493</v>
      </c>
      <c r="J5" s="139" t="s">
        <v>494</v>
      </c>
      <c r="K5" s="139" t="s">
        <v>495</v>
      </c>
      <c r="L5" s="120"/>
      <c r="M5" s="120"/>
      <c r="N5" s="120"/>
    </row>
    <row r="6" spans="1:14" s="119" customFormat="1" ht="16.5" thickBot="1">
      <c r="B6" s="122" t="s">
        <v>496</v>
      </c>
      <c r="C6" s="123" t="s">
        <v>497</v>
      </c>
      <c r="D6" s="123" t="s">
        <v>498</v>
      </c>
      <c r="E6" s="123" t="s">
        <v>498</v>
      </c>
      <c r="H6" s="122" t="s">
        <v>496</v>
      </c>
      <c r="I6" s="149" t="s">
        <v>497</v>
      </c>
      <c r="J6" s="123" t="s">
        <v>498</v>
      </c>
      <c r="K6" s="123" t="s">
        <v>498</v>
      </c>
      <c r="L6" s="120"/>
      <c r="M6" s="120"/>
      <c r="N6" s="120"/>
    </row>
    <row r="7" spans="1:14" s="119" customFormat="1" ht="16.5" thickBot="1">
      <c r="A7" s="153" t="s">
        <v>586</v>
      </c>
      <c r="B7" s="124"/>
      <c r="C7" s="125"/>
      <c r="D7" s="125"/>
      <c r="E7" s="125"/>
      <c r="F7" s="140"/>
      <c r="G7" s="153" t="s">
        <v>586</v>
      </c>
      <c r="H7" s="124"/>
      <c r="I7" s="125"/>
      <c r="J7" s="125"/>
      <c r="K7" s="125"/>
    </row>
    <row r="8" spans="1:14" ht="15" customHeight="1">
      <c r="A8" s="126" t="s">
        <v>499</v>
      </c>
      <c r="B8" s="127">
        <v>220</v>
      </c>
      <c r="C8" s="364">
        <v>17.52</v>
      </c>
      <c r="D8" s="364">
        <v>12.49</v>
      </c>
      <c r="E8" s="364">
        <v>11.54</v>
      </c>
      <c r="F8" s="138"/>
      <c r="G8" s="126" t="s">
        <v>499</v>
      </c>
      <c r="H8" s="127">
        <v>220</v>
      </c>
      <c r="I8" s="150">
        <f>ROUND(C8*Factores!F8,2)+PCSPT!E35</f>
        <v>27.47</v>
      </c>
      <c r="J8" s="129">
        <f>ROUND(D8*Factores!F10,2)</f>
        <v>12.29</v>
      </c>
      <c r="K8" s="129">
        <f>ROUND(E8*Factores!F10,2)</f>
        <v>11.35</v>
      </c>
      <c r="L8" s="120"/>
      <c r="M8" s="120"/>
      <c r="N8" s="120"/>
    </row>
    <row r="9" spans="1:14" ht="15" customHeight="1">
      <c r="A9" s="130" t="s">
        <v>500</v>
      </c>
      <c r="B9" s="131">
        <v>220</v>
      </c>
      <c r="C9" s="365">
        <v>17.52</v>
      </c>
      <c r="D9" s="365">
        <v>12.44</v>
      </c>
      <c r="E9" s="365">
        <v>11.5</v>
      </c>
      <c r="F9" s="138"/>
      <c r="G9" s="130" t="s">
        <v>500</v>
      </c>
      <c r="H9" s="131">
        <v>220</v>
      </c>
      <c r="I9" s="151">
        <f>ROUND(C9*Factores!F8,2)+PCSPT!E35</f>
        <v>27.47</v>
      </c>
      <c r="J9" s="132">
        <f>ROUND(D9*Factores!F10,2)</f>
        <v>12.24</v>
      </c>
      <c r="K9" s="132">
        <f>ROUND(E9*Factores!F10,2)</f>
        <v>11.31</v>
      </c>
      <c r="L9" s="120"/>
      <c r="M9" s="120"/>
      <c r="N9" s="120"/>
    </row>
    <row r="10" spans="1:14" ht="15" customHeight="1">
      <c r="A10" s="130" t="s">
        <v>501</v>
      </c>
      <c r="B10" s="131">
        <v>220</v>
      </c>
      <c r="C10" s="365">
        <v>17.52</v>
      </c>
      <c r="D10" s="365">
        <v>13.02</v>
      </c>
      <c r="E10" s="365">
        <v>11.9</v>
      </c>
      <c r="F10" s="138"/>
      <c r="G10" s="130" t="s">
        <v>501</v>
      </c>
      <c r="H10" s="131">
        <v>220</v>
      </c>
      <c r="I10" s="151">
        <f>ROUND(C10*Factores!F8,2)+PCSPT!E35</f>
        <v>27.47</v>
      </c>
      <c r="J10" s="132">
        <f>ROUND(D10*Factores!F10,2)</f>
        <v>12.81</v>
      </c>
      <c r="K10" s="132">
        <f>ROUND(E10*Factores!F10,2)</f>
        <v>11.7</v>
      </c>
      <c r="L10" s="120"/>
      <c r="M10" s="120"/>
      <c r="N10" s="120"/>
    </row>
    <row r="11" spans="1:14" ht="15" customHeight="1">
      <c r="A11" s="130" t="s">
        <v>502</v>
      </c>
      <c r="B11" s="131">
        <v>220</v>
      </c>
      <c r="C11" s="365">
        <v>17.52</v>
      </c>
      <c r="D11" s="365">
        <v>12.85</v>
      </c>
      <c r="E11" s="365">
        <v>11.74</v>
      </c>
      <c r="F11" s="138"/>
      <c r="G11" s="130" t="s">
        <v>502</v>
      </c>
      <c r="H11" s="131">
        <v>220</v>
      </c>
      <c r="I11" s="151">
        <f>ROUND(C11*Factores!F8,2)+PCSPT!E35</f>
        <v>27.47</v>
      </c>
      <c r="J11" s="132">
        <f>ROUND(D11*Factores!F10,2)</f>
        <v>12.64</v>
      </c>
      <c r="K11" s="132">
        <f>ROUND(E11*Factores!F10,2)</f>
        <v>11.55</v>
      </c>
      <c r="L11" s="120"/>
      <c r="M11" s="120"/>
      <c r="N11" s="120"/>
    </row>
    <row r="12" spans="1:14" ht="15" customHeight="1">
      <c r="A12" s="130" t="s">
        <v>503</v>
      </c>
      <c r="B12" s="131">
        <v>220</v>
      </c>
      <c r="C12" s="365">
        <v>17.52</v>
      </c>
      <c r="D12" s="365">
        <v>12.64</v>
      </c>
      <c r="E12" s="365">
        <v>11.6</v>
      </c>
      <c r="F12" s="138"/>
      <c r="G12" s="130" t="s">
        <v>503</v>
      </c>
      <c r="H12" s="131">
        <v>220</v>
      </c>
      <c r="I12" s="151">
        <f>ROUND(C12*Factores!F8,2)+PCSPT!E35</f>
        <v>27.47</v>
      </c>
      <c r="J12" s="132">
        <f>ROUND(D12*Factores!F10,2)</f>
        <v>12.43</v>
      </c>
      <c r="K12" s="132">
        <f>ROUND(E12*Factores!F10,2)</f>
        <v>11.41</v>
      </c>
      <c r="L12" s="120"/>
      <c r="M12" s="120"/>
      <c r="N12" s="120"/>
    </row>
    <row r="13" spans="1:14" ht="15" customHeight="1">
      <c r="A13" s="130" t="s">
        <v>503</v>
      </c>
      <c r="B13" s="131">
        <v>138</v>
      </c>
      <c r="C13" s="365">
        <v>17.52</v>
      </c>
      <c r="D13" s="365">
        <v>12.64</v>
      </c>
      <c r="E13" s="365">
        <v>11.6</v>
      </c>
      <c r="F13" s="138"/>
      <c r="G13" s="130" t="s">
        <v>503</v>
      </c>
      <c r="H13" s="131">
        <v>138</v>
      </c>
      <c r="I13" s="151">
        <f>ROUND(C13*Factores!F8,2)+PCSPT!E35</f>
        <v>27.47</v>
      </c>
      <c r="J13" s="132">
        <f>ROUND(D13*Factores!F10,2)</f>
        <v>12.43</v>
      </c>
      <c r="K13" s="132">
        <f>ROUND(E13*Factores!F10,2)</f>
        <v>11.41</v>
      </c>
      <c r="L13" s="120"/>
      <c r="M13" s="120"/>
      <c r="N13" s="120"/>
    </row>
    <row r="14" spans="1:14" ht="15" customHeight="1">
      <c r="A14" s="130" t="s">
        <v>504</v>
      </c>
      <c r="B14" s="131">
        <v>138</v>
      </c>
      <c r="C14" s="365">
        <v>17.52</v>
      </c>
      <c r="D14" s="365">
        <v>12.64</v>
      </c>
      <c r="E14" s="365">
        <v>11.6</v>
      </c>
      <c r="F14" s="138"/>
      <c r="G14" s="130" t="s">
        <v>504</v>
      </c>
      <c r="H14" s="131">
        <v>138</v>
      </c>
      <c r="I14" s="151">
        <f>ROUND(C14*Factores!F8,2)+PCSPT!E35</f>
        <v>27.47</v>
      </c>
      <c r="J14" s="132">
        <f>ROUND(D14*Factores!F10,2)</f>
        <v>12.43</v>
      </c>
      <c r="K14" s="132">
        <f>ROUND(E14*Factores!F10,2)</f>
        <v>11.41</v>
      </c>
      <c r="L14" s="120"/>
      <c r="M14" s="120"/>
      <c r="N14" s="120"/>
    </row>
    <row r="15" spans="1:14" ht="15" customHeight="1">
      <c r="A15" s="130" t="s">
        <v>505</v>
      </c>
      <c r="B15" s="131">
        <v>138</v>
      </c>
      <c r="C15" s="365">
        <v>17.52</v>
      </c>
      <c r="D15" s="365">
        <v>12.64</v>
      </c>
      <c r="E15" s="365">
        <v>11.6</v>
      </c>
      <c r="F15" s="138"/>
      <c r="G15" s="130" t="s">
        <v>505</v>
      </c>
      <c r="H15" s="131">
        <v>138</v>
      </c>
      <c r="I15" s="151">
        <f>ROUND(C15*Factores!F8,2)+PCSPT!E35</f>
        <v>27.47</v>
      </c>
      <c r="J15" s="132">
        <f>ROUND(D15*Factores!F10,2)</f>
        <v>12.43</v>
      </c>
      <c r="K15" s="132">
        <f>ROUND(E15*Factores!F10,2)</f>
        <v>11.41</v>
      </c>
      <c r="L15" s="120"/>
      <c r="M15" s="120"/>
      <c r="N15" s="120"/>
    </row>
    <row r="16" spans="1:14" ht="15" customHeight="1">
      <c r="A16" s="130" t="s">
        <v>506</v>
      </c>
      <c r="B16" s="131">
        <v>220</v>
      </c>
      <c r="C16" s="365">
        <v>17.52</v>
      </c>
      <c r="D16" s="365">
        <v>12.7</v>
      </c>
      <c r="E16" s="365">
        <v>11.6</v>
      </c>
      <c r="F16" s="138"/>
      <c r="G16" s="130" t="s">
        <v>506</v>
      </c>
      <c r="H16" s="131">
        <v>220</v>
      </c>
      <c r="I16" s="151">
        <f>ROUND(C16*Factores!F8,2)+PCSPT!E35</f>
        <v>27.47</v>
      </c>
      <c r="J16" s="132">
        <f>ROUND(D16*Factores!F10,2)</f>
        <v>12.49</v>
      </c>
      <c r="K16" s="132">
        <f>ROUND(E16*Factores!F10,2)</f>
        <v>11.41</v>
      </c>
      <c r="L16" s="120"/>
      <c r="M16" s="120"/>
      <c r="N16" s="120"/>
    </row>
    <row r="17" spans="1:14" ht="15" customHeight="1">
      <c r="A17" s="130" t="s">
        <v>506</v>
      </c>
      <c r="B17" s="131">
        <v>60</v>
      </c>
      <c r="C17" s="365">
        <v>17.52</v>
      </c>
      <c r="D17" s="365">
        <v>12.75</v>
      </c>
      <c r="E17" s="365">
        <v>11.64</v>
      </c>
      <c r="F17" s="138"/>
      <c r="G17" s="130" t="s">
        <v>506</v>
      </c>
      <c r="H17" s="131">
        <v>60</v>
      </c>
      <c r="I17" s="151">
        <f>ROUND(C17*Factores!F8,2)+PCSPT!E35</f>
        <v>27.47</v>
      </c>
      <c r="J17" s="132">
        <f>ROUND(D17*Factores!F10,2)</f>
        <v>12.54</v>
      </c>
      <c r="K17" s="132">
        <f>ROUND(E17*Factores!F10,2)</f>
        <v>11.45</v>
      </c>
      <c r="L17" s="120"/>
      <c r="M17" s="120"/>
      <c r="N17" s="120"/>
    </row>
    <row r="18" spans="1:14" ht="15" customHeight="1">
      <c r="A18" s="130" t="s">
        <v>507</v>
      </c>
      <c r="B18" s="131">
        <v>220</v>
      </c>
      <c r="C18" s="365">
        <v>17.52</v>
      </c>
      <c r="D18" s="365">
        <v>12.35</v>
      </c>
      <c r="E18" s="365">
        <v>11.33</v>
      </c>
      <c r="F18" s="138"/>
      <c r="G18" s="130" t="s">
        <v>507</v>
      </c>
      <c r="H18" s="131">
        <v>220</v>
      </c>
      <c r="I18" s="151">
        <f>ROUND(C18*Factores!F8,2)+PCSPT!E35</f>
        <v>27.47</v>
      </c>
      <c r="J18" s="132">
        <f>ROUND(D18*Factores!F10,2)</f>
        <v>12.15</v>
      </c>
      <c r="K18" s="132">
        <f>ROUND(E18*Factores!F10,2)</f>
        <v>11.14</v>
      </c>
      <c r="L18" s="120"/>
      <c r="M18" s="120"/>
      <c r="N18" s="120"/>
    </row>
    <row r="19" spans="1:14" ht="15" customHeight="1">
      <c r="A19" s="130" t="s">
        <v>508</v>
      </c>
      <c r="B19" s="131">
        <v>220</v>
      </c>
      <c r="C19" s="365">
        <v>17.52</v>
      </c>
      <c r="D19" s="365">
        <v>12.43</v>
      </c>
      <c r="E19" s="365">
        <v>11.37</v>
      </c>
      <c r="F19" s="138"/>
      <c r="G19" s="130" t="s">
        <v>508</v>
      </c>
      <c r="H19" s="131">
        <v>220</v>
      </c>
      <c r="I19" s="151">
        <f>ROUND(C19*Factores!F8,2)+PCSPT!E35</f>
        <v>27.47</v>
      </c>
      <c r="J19" s="132">
        <f>ROUND(D19*Factores!F10,2)</f>
        <v>12.23</v>
      </c>
      <c r="K19" s="132">
        <f>ROUND(E19*Factores!F10,2)</f>
        <v>11.18</v>
      </c>
      <c r="L19" s="120"/>
      <c r="M19" s="120"/>
      <c r="N19" s="120"/>
    </row>
    <row r="20" spans="1:14" ht="15" customHeight="1">
      <c r="A20" s="130" t="s">
        <v>509</v>
      </c>
      <c r="B20" s="131">
        <v>220</v>
      </c>
      <c r="C20" s="365">
        <v>17.52</v>
      </c>
      <c r="D20" s="365">
        <v>12.27</v>
      </c>
      <c r="E20" s="365">
        <v>11.24</v>
      </c>
      <c r="F20" s="138"/>
      <c r="G20" s="130" t="s">
        <v>509</v>
      </c>
      <c r="H20" s="131">
        <v>220</v>
      </c>
      <c r="I20" s="151">
        <f>ROUND(C20*Factores!F8,2)+PCSPT!E35</f>
        <v>27.47</v>
      </c>
      <c r="J20" s="132">
        <f>ROUND(D20*Factores!F10,2)</f>
        <v>12.07</v>
      </c>
      <c r="K20" s="132">
        <f>ROUND(E20*Factores!F10,2)</f>
        <v>11.06</v>
      </c>
      <c r="L20" s="120"/>
      <c r="M20" s="120"/>
      <c r="N20" s="120"/>
    </row>
    <row r="21" spans="1:14" ht="15" customHeight="1">
      <c r="A21" s="130" t="s">
        <v>509</v>
      </c>
      <c r="B21" s="131">
        <v>138</v>
      </c>
      <c r="C21" s="365">
        <v>17.52</v>
      </c>
      <c r="D21" s="365">
        <v>12.33</v>
      </c>
      <c r="E21" s="365">
        <v>11.27</v>
      </c>
      <c r="F21" s="138"/>
      <c r="G21" s="130" t="s">
        <v>509</v>
      </c>
      <c r="H21" s="131">
        <v>138</v>
      </c>
      <c r="I21" s="151">
        <f>ROUND(C21*Factores!F8,2)+PCSPT!E35</f>
        <v>27.47</v>
      </c>
      <c r="J21" s="132">
        <f>ROUND(D21*Factores!F10,2)</f>
        <v>12.13</v>
      </c>
      <c r="K21" s="132">
        <f>ROUND(E21*Factores!F10,2)</f>
        <v>11.09</v>
      </c>
      <c r="L21" s="120"/>
      <c r="M21" s="120"/>
      <c r="N21" s="120"/>
    </row>
    <row r="22" spans="1:14" ht="15" customHeight="1">
      <c r="A22" s="130" t="s">
        <v>510</v>
      </c>
      <c r="B22" s="131">
        <v>220</v>
      </c>
      <c r="C22" s="365">
        <v>17.52</v>
      </c>
      <c r="D22" s="365">
        <v>11.94</v>
      </c>
      <c r="E22" s="365">
        <v>10.94</v>
      </c>
      <c r="F22" s="138"/>
      <c r="G22" s="130" t="s">
        <v>510</v>
      </c>
      <c r="H22" s="131">
        <v>220</v>
      </c>
      <c r="I22" s="151">
        <f>ROUND(C22*Factores!F8,2)+PCSPT!E35</f>
        <v>27.47</v>
      </c>
      <c r="J22" s="132">
        <f>ROUND(D22*Factores!F10,2)</f>
        <v>11.74</v>
      </c>
      <c r="K22" s="132">
        <f>ROUND(E22*Factores!F10,2)</f>
        <v>10.76</v>
      </c>
      <c r="L22" s="120"/>
      <c r="M22" s="120"/>
      <c r="N22" s="120"/>
    </row>
    <row r="23" spans="1:14" ht="15" customHeight="1">
      <c r="A23" s="130" t="s">
        <v>510</v>
      </c>
      <c r="B23" s="131">
        <v>138</v>
      </c>
      <c r="C23" s="365">
        <v>17.52</v>
      </c>
      <c r="D23" s="365">
        <v>11.92</v>
      </c>
      <c r="E23" s="365">
        <v>10.93</v>
      </c>
      <c r="F23" s="138"/>
      <c r="G23" s="130" t="s">
        <v>510</v>
      </c>
      <c r="H23" s="131">
        <v>138</v>
      </c>
      <c r="I23" s="151">
        <f>ROUND(C23*Factores!F8,2)+PCSPT!E35</f>
        <v>27.47</v>
      </c>
      <c r="J23" s="132">
        <f>ROUND(D23*Factores!F10,2)</f>
        <v>11.72</v>
      </c>
      <c r="K23" s="132">
        <f>ROUND(E23*Factores!F10,2)</f>
        <v>10.75</v>
      </c>
      <c r="L23" s="120"/>
      <c r="M23" s="120"/>
      <c r="N23" s="120"/>
    </row>
    <row r="24" spans="1:14" ht="15" customHeight="1">
      <c r="A24" s="130" t="s">
        <v>511</v>
      </c>
      <c r="B24" s="131">
        <v>138</v>
      </c>
      <c r="C24" s="365">
        <v>17.52</v>
      </c>
      <c r="D24" s="365">
        <v>11.89</v>
      </c>
      <c r="E24" s="365">
        <v>10.92</v>
      </c>
      <c r="F24" s="138"/>
      <c r="G24" s="130" t="s">
        <v>511</v>
      </c>
      <c r="H24" s="131">
        <v>138</v>
      </c>
      <c r="I24" s="151">
        <f>ROUND(C24*Factores!F8,2)+PCSPT!E35</f>
        <v>27.47</v>
      </c>
      <c r="J24" s="132">
        <f>ROUND(D24*Factores!F10,2)</f>
        <v>11.7</v>
      </c>
      <c r="K24" s="132">
        <f>ROUND(E24*Factores!F10,2)</f>
        <v>10.74</v>
      </c>
      <c r="L24" s="120"/>
      <c r="M24" s="120"/>
      <c r="N24" s="120"/>
    </row>
    <row r="25" spans="1:14" ht="15" customHeight="1">
      <c r="A25" s="130" t="s">
        <v>512</v>
      </c>
      <c r="B25" s="131">
        <v>220</v>
      </c>
      <c r="C25" s="365">
        <v>17.52</v>
      </c>
      <c r="D25" s="365">
        <v>11.89</v>
      </c>
      <c r="E25" s="365">
        <v>10.88</v>
      </c>
      <c r="F25" s="138"/>
      <c r="G25" s="130" t="s">
        <v>512</v>
      </c>
      <c r="H25" s="131">
        <v>220</v>
      </c>
      <c r="I25" s="151">
        <f>ROUND(C25*Factores!F8,2)+PCSPT!E35</f>
        <v>27.47</v>
      </c>
      <c r="J25" s="132">
        <f>ROUND(D25*Factores!F10,2)</f>
        <v>11.7</v>
      </c>
      <c r="K25" s="132">
        <f>ROUND(E25*Factores!F10,2)</f>
        <v>10.7</v>
      </c>
      <c r="L25" s="120"/>
      <c r="M25" s="120"/>
      <c r="N25" s="120"/>
    </row>
    <row r="26" spans="1:14" ht="15" customHeight="1">
      <c r="A26" s="130" t="s">
        <v>513</v>
      </c>
      <c r="B26" s="131">
        <v>220</v>
      </c>
      <c r="C26" s="365">
        <v>17.52</v>
      </c>
      <c r="D26" s="365">
        <v>11.74</v>
      </c>
      <c r="E26" s="365">
        <v>10.73</v>
      </c>
      <c r="F26" s="138"/>
      <c r="G26" s="130" t="s">
        <v>513</v>
      </c>
      <c r="H26" s="131">
        <v>220</v>
      </c>
      <c r="I26" s="151">
        <f>ROUND(C26*Factores!F8,2)+PCSPT!E35</f>
        <v>27.47</v>
      </c>
      <c r="J26" s="132">
        <f>ROUND(D26*Factores!F10,2)</f>
        <v>11.55</v>
      </c>
      <c r="K26" s="132">
        <f>ROUND(E26*Factores!F10,2)</f>
        <v>10.55</v>
      </c>
      <c r="L26" s="120"/>
      <c r="M26" s="120"/>
      <c r="N26" s="120"/>
    </row>
    <row r="27" spans="1:14" ht="15" customHeight="1">
      <c r="A27" s="130" t="s">
        <v>514</v>
      </c>
      <c r="B27" s="131">
        <v>220</v>
      </c>
      <c r="C27" s="365">
        <v>17.52</v>
      </c>
      <c r="D27" s="365">
        <v>11.73</v>
      </c>
      <c r="E27" s="365">
        <v>10.72</v>
      </c>
      <c r="F27" s="138"/>
      <c r="G27" s="130" t="s">
        <v>514</v>
      </c>
      <c r="H27" s="131">
        <v>220</v>
      </c>
      <c r="I27" s="151">
        <f>ROUND(C27*Factores!F8,2)+PCSPT!E35</f>
        <v>27.47</v>
      </c>
      <c r="J27" s="132">
        <f>ROUND(D27*Factores!F10,2)</f>
        <v>11.54</v>
      </c>
      <c r="K27" s="132">
        <f>ROUND(E27*Factores!F10,2)</f>
        <v>10.54</v>
      </c>
      <c r="L27" s="120"/>
      <c r="M27" s="120"/>
      <c r="N27" s="120"/>
    </row>
    <row r="28" spans="1:14" ht="15" customHeight="1">
      <c r="A28" s="130" t="s">
        <v>515</v>
      </c>
      <c r="B28" s="131">
        <v>220</v>
      </c>
      <c r="C28" s="365">
        <v>17.52</v>
      </c>
      <c r="D28" s="365">
        <v>11.73</v>
      </c>
      <c r="E28" s="365">
        <v>10.7</v>
      </c>
      <c r="F28" s="138"/>
      <c r="G28" s="130" t="s">
        <v>515</v>
      </c>
      <c r="H28" s="131">
        <v>220</v>
      </c>
      <c r="I28" s="151">
        <f>ROUND(C28*Factores!F8,2)+PCSPT!E35</f>
        <v>27.47</v>
      </c>
      <c r="J28" s="132">
        <f>ROUND(D28*Factores!F10,2)</f>
        <v>11.54</v>
      </c>
      <c r="K28" s="132">
        <f>ROUND(E28*Factores!F10,2)</f>
        <v>10.52</v>
      </c>
      <c r="L28" s="120"/>
      <c r="M28" s="120"/>
      <c r="N28" s="120"/>
    </row>
    <row r="29" spans="1:14" ht="15" customHeight="1">
      <c r="A29" s="130" t="s">
        <v>516</v>
      </c>
      <c r="B29" s="131">
        <v>220</v>
      </c>
      <c r="C29" s="365">
        <v>17.52</v>
      </c>
      <c r="D29" s="365">
        <v>11.54</v>
      </c>
      <c r="E29" s="365">
        <v>10.57</v>
      </c>
      <c r="F29" s="138"/>
      <c r="G29" s="130" t="s">
        <v>516</v>
      </c>
      <c r="H29" s="131">
        <v>220</v>
      </c>
      <c r="I29" s="151">
        <f>ROUND(C29*Factores!F8,2)+PCSPT!E35</f>
        <v>27.47</v>
      </c>
      <c r="J29" s="132">
        <f>ROUND(D29*Factores!F10,2)</f>
        <v>11.35</v>
      </c>
      <c r="K29" s="132">
        <f>ROUND(E29*Factores!F10,2)</f>
        <v>10.4</v>
      </c>
      <c r="L29" s="120"/>
      <c r="M29" s="120"/>
      <c r="N29" s="120"/>
    </row>
    <row r="30" spans="1:14" ht="15" customHeight="1">
      <c r="A30" s="130" t="s">
        <v>517</v>
      </c>
      <c r="B30" s="131">
        <v>220</v>
      </c>
      <c r="C30" s="365">
        <v>17.52</v>
      </c>
      <c r="D30" s="365">
        <v>11.43</v>
      </c>
      <c r="E30" s="365">
        <v>10.46</v>
      </c>
      <c r="F30" s="138"/>
      <c r="G30" s="130" t="s">
        <v>517</v>
      </c>
      <c r="H30" s="131">
        <v>220</v>
      </c>
      <c r="I30" s="151">
        <f>ROUND(C30*Factores!F8,2)+PCSPT!E35</f>
        <v>27.47</v>
      </c>
      <c r="J30" s="132">
        <f>ROUND(D30*Factores!F10,2)</f>
        <v>11.24</v>
      </c>
      <c r="K30" s="132">
        <f>ROUND(E30*Factores!F10,2)</f>
        <v>10.29</v>
      </c>
      <c r="L30" s="120"/>
      <c r="M30" s="120"/>
      <c r="N30" s="120"/>
    </row>
    <row r="31" spans="1:14" ht="15" customHeight="1">
      <c r="A31" s="130" t="s">
        <v>518</v>
      </c>
      <c r="B31" s="131">
        <v>220</v>
      </c>
      <c r="C31" s="365">
        <v>17.52</v>
      </c>
      <c r="D31" s="365">
        <v>11.62</v>
      </c>
      <c r="E31" s="365">
        <v>10.67</v>
      </c>
      <c r="F31" s="138"/>
      <c r="G31" s="130" t="s">
        <v>518</v>
      </c>
      <c r="H31" s="131">
        <v>220</v>
      </c>
      <c r="I31" s="151">
        <f>ROUND(C31*Factores!F8,2)+PCSPT!E35</f>
        <v>27.47</v>
      </c>
      <c r="J31" s="132">
        <f>ROUND(D31*Factores!F10,2)</f>
        <v>11.43</v>
      </c>
      <c r="K31" s="132">
        <f>ROUND(E31*Factores!F10,2)</f>
        <v>10.5</v>
      </c>
      <c r="L31" s="120"/>
      <c r="M31" s="120"/>
      <c r="N31" s="120"/>
    </row>
    <row r="32" spans="1:14" ht="15" customHeight="1">
      <c r="A32" s="130" t="s">
        <v>519</v>
      </c>
      <c r="B32" s="131">
        <v>220</v>
      </c>
      <c r="C32" s="365">
        <v>17.52</v>
      </c>
      <c r="D32" s="365">
        <v>11.68</v>
      </c>
      <c r="E32" s="365">
        <v>10.73</v>
      </c>
      <c r="F32" s="138"/>
      <c r="G32" s="130" t="s">
        <v>519</v>
      </c>
      <c r="H32" s="131">
        <v>220</v>
      </c>
      <c r="I32" s="151">
        <f>ROUND(C32*Factores!F8,2)+PCSPT!E35</f>
        <v>27.47</v>
      </c>
      <c r="J32" s="132">
        <f>ROUND(D32*Factores!F10,2)</f>
        <v>11.49</v>
      </c>
      <c r="K32" s="132">
        <f>ROUND(E32*Factores!F10,2)</f>
        <v>10.55</v>
      </c>
      <c r="L32" s="120"/>
      <c r="M32" s="120"/>
      <c r="N32" s="120"/>
    </row>
    <row r="33" spans="1:14" ht="15" customHeight="1">
      <c r="A33" s="130" t="s">
        <v>520</v>
      </c>
      <c r="B33" s="131">
        <v>220</v>
      </c>
      <c r="C33" s="365">
        <v>17.52</v>
      </c>
      <c r="D33" s="365">
        <v>11.87</v>
      </c>
      <c r="E33" s="365">
        <v>10.87</v>
      </c>
      <c r="F33" s="138"/>
      <c r="G33" s="130" t="s">
        <v>520</v>
      </c>
      <c r="H33" s="131">
        <v>220</v>
      </c>
      <c r="I33" s="151">
        <f>ROUND(C33*Factores!F8,2)+PCSPT!E35</f>
        <v>27.47</v>
      </c>
      <c r="J33" s="132">
        <f>ROUND(D33*Factores!F10,2)</f>
        <v>11.68</v>
      </c>
      <c r="K33" s="132">
        <f>ROUND(E33*Factores!F10,2)</f>
        <v>10.69</v>
      </c>
      <c r="L33" s="120"/>
      <c r="M33" s="120"/>
      <c r="N33" s="120"/>
    </row>
    <row r="34" spans="1:14" ht="15" customHeight="1">
      <c r="A34" s="130" t="s">
        <v>521</v>
      </c>
      <c r="B34" s="131">
        <v>220</v>
      </c>
      <c r="C34" s="365">
        <v>17.52</v>
      </c>
      <c r="D34" s="365">
        <v>11.47</v>
      </c>
      <c r="E34" s="365">
        <v>10.49</v>
      </c>
      <c r="F34" s="138"/>
      <c r="G34" s="130" t="s">
        <v>521</v>
      </c>
      <c r="H34" s="131">
        <v>220</v>
      </c>
      <c r="I34" s="151">
        <f>ROUND(C34*Factores!F8,2)+PCSPT!E35</f>
        <v>27.47</v>
      </c>
      <c r="J34" s="132">
        <f>ROUND(D34*Factores!F10,2)</f>
        <v>11.28</v>
      </c>
      <c r="K34" s="132">
        <f>ROUND(E34*Factores!F10,2)</f>
        <v>10.32</v>
      </c>
      <c r="L34" s="120"/>
      <c r="M34" s="120"/>
      <c r="N34" s="120"/>
    </row>
    <row r="35" spans="1:14" ht="15" customHeight="1">
      <c r="A35" s="130" t="s">
        <v>522</v>
      </c>
      <c r="B35" s="131">
        <v>220</v>
      </c>
      <c r="C35" s="365">
        <v>17.52</v>
      </c>
      <c r="D35" s="365">
        <v>11.56</v>
      </c>
      <c r="E35" s="365">
        <v>10.56</v>
      </c>
      <c r="F35" s="138"/>
      <c r="G35" s="130" t="s">
        <v>522</v>
      </c>
      <c r="H35" s="131">
        <v>220</v>
      </c>
      <c r="I35" s="151">
        <f>ROUND(C35*Factores!F8,2)+PCSPT!E35</f>
        <v>27.47</v>
      </c>
      <c r="J35" s="132">
        <f>ROUND(D35*Factores!F10,2)</f>
        <v>11.37</v>
      </c>
      <c r="K35" s="132">
        <f>ROUND(E35*Factores!F10,2)</f>
        <v>10.39</v>
      </c>
      <c r="L35" s="120"/>
      <c r="M35" s="120"/>
      <c r="N35" s="120"/>
    </row>
    <row r="36" spans="1:14" ht="15" customHeight="1">
      <c r="A36" s="130" t="s">
        <v>523</v>
      </c>
      <c r="B36" s="131">
        <v>220</v>
      </c>
      <c r="C36" s="365">
        <v>17.52</v>
      </c>
      <c r="D36" s="365">
        <v>11.58</v>
      </c>
      <c r="E36" s="365">
        <v>10.6</v>
      </c>
      <c r="F36" s="138"/>
      <c r="G36" s="130" t="s">
        <v>523</v>
      </c>
      <c r="H36" s="131">
        <v>220</v>
      </c>
      <c r="I36" s="151">
        <f>ROUND(C36*Factores!F8,2)+PCSPT!E35</f>
        <v>27.47</v>
      </c>
      <c r="J36" s="132">
        <f>ROUND(D36*Factores!F10,2)</f>
        <v>11.39</v>
      </c>
      <c r="K36" s="132">
        <f>ROUND(E36*Factores!F10,2)</f>
        <v>10.43</v>
      </c>
      <c r="L36" s="120"/>
      <c r="M36" s="120"/>
      <c r="N36" s="120"/>
    </row>
    <row r="37" spans="1:14" ht="15" customHeight="1">
      <c r="A37" s="130" t="s">
        <v>524</v>
      </c>
      <c r="B37" s="131">
        <v>220</v>
      </c>
      <c r="C37" s="365">
        <v>17.52</v>
      </c>
      <c r="D37" s="365">
        <v>11.59</v>
      </c>
      <c r="E37" s="365">
        <v>10.6</v>
      </c>
      <c r="F37" s="138"/>
      <c r="G37" s="130" t="s">
        <v>524</v>
      </c>
      <c r="H37" s="131">
        <v>220</v>
      </c>
      <c r="I37" s="151">
        <f>ROUND(C37*Factores!F8,2)+PCSPT!E35</f>
        <v>27.47</v>
      </c>
      <c r="J37" s="132">
        <f>ROUND(D37*Factores!F10,2)</f>
        <v>11.4</v>
      </c>
      <c r="K37" s="132">
        <f>ROUND(E37*Factores!F10,2)</f>
        <v>10.43</v>
      </c>
      <c r="L37" s="120"/>
      <c r="M37" s="120"/>
      <c r="N37" s="120"/>
    </row>
    <row r="38" spans="1:14" ht="15" customHeight="1">
      <c r="A38" s="130" t="s">
        <v>525</v>
      </c>
      <c r="B38" s="131">
        <v>220</v>
      </c>
      <c r="C38" s="365">
        <v>17.52</v>
      </c>
      <c r="D38" s="365">
        <v>11.52</v>
      </c>
      <c r="E38" s="365">
        <v>10.55</v>
      </c>
      <c r="F38" s="138"/>
      <c r="G38" s="130" t="s">
        <v>525</v>
      </c>
      <c r="H38" s="131">
        <v>220</v>
      </c>
      <c r="I38" s="151">
        <f>ROUND(C38*Factores!F8,2)+PCSPT!E35</f>
        <v>27.47</v>
      </c>
      <c r="J38" s="132">
        <f>ROUND(D38*Factores!F10,2)</f>
        <v>11.33</v>
      </c>
      <c r="K38" s="132">
        <f>ROUND(E38*Factores!F10,2)</f>
        <v>10.38</v>
      </c>
      <c r="L38" s="120"/>
      <c r="M38" s="120"/>
      <c r="N38" s="120"/>
    </row>
    <row r="39" spans="1:14" ht="15" customHeight="1">
      <c r="A39" s="130" t="s">
        <v>526</v>
      </c>
      <c r="B39" s="131">
        <v>220</v>
      </c>
      <c r="C39" s="365">
        <v>17.52</v>
      </c>
      <c r="D39" s="365">
        <v>11.64</v>
      </c>
      <c r="E39" s="365">
        <v>10.65</v>
      </c>
      <c r="F39" s="138"/>
      <c r="G39" s="130" t="s">
        <v>526</v>
      </c>
      <c r="H39" s="131">
        <v>220</v>
      </c>
      <c r="I39" s="151">
        <f>ROUND(C39*Factores!F8,2)+PCSPT!E35</f>
        <v>27.47</v>
      </c>
      <c r="J39" s="132">
        <f>ROUND(D39*Factores!F10,2)</f>
        <v>11.45</v>
      </c>
      <c r="K39" s="132">
        <f>ROUND(E39*Factores!F10,2)</f>
        <v>10.48</v>
      </c>
      <c r="L39" s="120"/>
      <c r="M39" s="120"/>
      <c r="N39" s="120"/>
    </row>
    <row r="40" spans="1:14" ht="15" customHeight="1">
      <c r="A40" s="130" t="s">
        <v>527</v>
      </c>
      <c r="B40" s="131">
        <v>220</v>
      </c>
      <c r="C40" s="365">
        <v>17.52</v>
      </c>
      <c r="D40" s="365">
        <v>11.72</v>
      </c>
      <c r="E40" s="365">
        <v>10.74</v>
      </c>
      <c r="F40" s="138"/>
      <c r="G40" s="130" t="s">
        <v>527</v>
      </c>
      <c r="H40" s="131">
        <v>220</v>
      </c>
      <c r="I40" s="151">
        <f>ROUND(C40*Factores!F8,2)+PCSPT!E35</f>
        <v>27.47</v>
      </c>
      <c r="J40" s="132">
        <f>ROUND(D40*Factores!F10,2)</f>
        <v>11.53</v>
      </c>
      <c r="K40" s="132">
        <f>ROUND(E40*Factores!F10,2)</f>
        <v>10.56</v>
      </c>
      <c r="L40" s="120"/>
      <c r="M40" s="120"/>
      <c r="N40" s="120"/>
    </row>
    <row r="41" spans="1:14" ht="15" customHeight="1">
      <c r="A41" s="130" t="s">
        <v>528</v>
      </c>
      <c r="B41" s="131">
        <v>138</v>
      </c>
      <c r="C41" s="365">
        <v>17.52</v>
      </c>
      <c r="D41" s="365">
        <v>12.07</v>
      </c>
      <c r="E41" s="365">
        <v>11.06</v>
      </c>
      <c r="F41" s="138"/>
      <c r="G41" s="130" t="s">
        <v>528</v>
      </c>
      <c r="H41" s="131">
        <v>138</v>
      </c>
      <c r="I41" s="151">
        <f>ROUND(C41*Factores!F8,2)+PCSPT!E35</f>
        <v>27.47</v>
      </c>
      <c r="J41" s="132">
        <f>ROUND(D41*Factores!F10,2)</f>
        <v>11.87</v>
      </c>
      <c r="K41" s="132">
        <f>ROUND(E41*Factores!F10,2)</f>
        <v>10.88</v>
      </c>
      <c r="L41" s="120"/>
      <c r="M41" s="120"/>
      <c r="N41" s="120"/>
    </row>
    <row r="42" spans="1:14" ht="15" customHeight="1">
      <c r="A42" s="130" t="s">
        <v>529</v>
      </c>
      <c r="B42" s="131">
        <v>220</v>
      </c>
      <c r="C42" s="365">
        <v>17.52</v>
      </c>
      <c r="D42" s="365">
        <v>11.87</v>
      </c>
      <c r="E42" s="365">
        <v>10.88</v>
      </c>
      <c r="F42" s="138"/>
      <c r="G42" s="130" t="s">
        <v>529</v>
      </c>
      <c r="H42" s="131">
        <v>220</v>
      </c>
      <c r="I42" s="151">
        <f>ROUND(C42*Factores!F8,2)+PCSPT!E35</f>
        <v>27.47</v>
      </c>
      <c r="J42" s="132">
        <f>ROUND(D42*Factores!F10,2)</f>
        <v>11.68</v>
      </c>
      <c r="K42" s="132">
        <f>ROUND(E42*Factores!F10,2)</f>
        <v>10.7</v>
      </c>
      <c r="L42" s="120"/>
      <c r="M42" s="120"/>
      <c r="N42" s="120"/>
    </row>
    <row r="43" spans="1:14" ht="15" customHeight="1">
      <c r="A43" s="130" t="s">
        <v>530</v>
      </c>
      <c r="B43" s="131">
        <v>220</v>
      </c>
      <c r="C43" s="365">
        <v>17.52</v>
      </c>
      <c r="D43" s="365">
        <v>11.98</v>
      </c>
      <c r="E43" s="365">
        <v>10.97</v>
      </c>
      <c r="F43" s="138"/>
      <c r="G43" s="130" t="s">
        <v>530</v>
      </c>
      <c r="H43" s="131">
        <v>220</v>
      </c>
      <c r="I43" s="151">
        <f>ROUND(C43*Factores!F8,2)+PCSPT!E35</f>
        <v>27.47</v>
      </c>
      <c r="J43" s="132">
        <f>ROUND(D43*Factores!F10,2)</f>
        <v>11.78</v>
      </c>
      <c r="K43" s="132">
        <f>ROUND(E43*Factores!F10,2)</f>
        <v>10.79</v>
      </c>
      <c r="L43" s="120"/>
      <c r="M43" s="120"/>
      <c r="N43" s="120"/>
    </row>
    <row r="44" spans="1:14" ht="15" customHeight="1">
      <c r="A44" s="130" t="s">
        <v>531</v>
      </c>
      <c r="B44" s="131">
        <v>220</v>
      </c>
      <c r="C44" s="365">
        <v>17.52</v>
      </c>
      <c r="D44" s="365">
        <v>11.87</v>
      </c>
      <c r="E44" s="365">
        <v>10.89</v>
      </c>
      <c r="F44" s="138"/>
      <c r="G44" s="130" t="s">
        <v>531</v>
      </c>
      <c r="H44" s="131">
        <v>220</v>
      </c>
      <c r="I44" s="151">
        <f>ROUND(C44*Factores!F8,2)+PCSPT!E35</f>
        <v>27.47</v>
      </c>
      <c r="J44" s="132">
        <f>ROUND(D44*Factores!F10,2)</f>
        <v>11.68</v>
      </c>
      <c r="K44" s="132">
        <f>ROUND(E44*Factores!F10,2)</f>
        <v>10.71</v>
      </c>
      <c r="L44" s="120"/>
      <c r="M44" s="120"/>
      <c r="N44" s="120"/>
    </row>
    <row r="45" spans="1:14" ht="15" customHeight="1">
      <c r="A45" s="130" t="s">
        <v>531</v>
      </c>
      <c r="B45" s="131">
        <v>138</v>
      </c>
      <c r="C45" s="365">
        <v>17.52</v>
      </c>
      <c r="D45" s="365">
        <v>11.91</v>
      </c>
      <c r="E45" s="365">
        <v>10.92</v>
      </c>
      <c r="F45" s="138"/>
      <c r="G45" s="130" t="s">
        <v>531</v>
      </c>
      <c r="H45" s="131">
        <v>138</v>
      </c>
      <c r="I45" s="151">
        <f>ROUND(C45*Factores!F8,2)+PCSPT!E35</f>
        <v>27.47</v>
      </c>
      <c r="J45" s="132">
        <f>ROUND(D45*Factores!F10,2)</f>
        <v>11.71</v>
      </c>
      <c r="K45" s="132">
        <f>ROUND(E45*Factores!F10,2)</f>
        <v>10.74</v>
      </c>
      <c r="L45" s="120"/>
      <c r="M45" s="120"/>
      <c r="N45" s="120"/>
    </row>
    <row r="46" spans="1:14" ht="15" customHeight="1">
      <c r="A46" s="130" t="s">
        <v>531</v>
      </c>
      <c r="B46" s="131">
        <v>22.9</v>
      </c>
      <c r="C46" s="365">
        <v>17.52</v>
      </c>
      <c r="D46" s="365">
        <v>11.89</v>
      </c>
      <c r="E46" s="365">
        <v>10.9</v>
      </c>
      <c r="F46" s="138"/>
      <c r="G46" s="130" t="s">
        <v>531</v>
      </c>
      <c r="H46" s="131">
        <v>22.9</v>
      </c>
      <c r="I46" s="151">
        <f>ROUND(C46*Factores!F8,2)+PCSPT!E35</f>
        <v>27.47</v>
      </c>
      <c r="J46" s="132">
        <f>ROUND(D46*Factores!F10,2)</f>
        <v>11.7</v>
      </c>
      <c r="K46" s="132">
        <f>ROUND(E46*Factores!F10,2)</f>
        <v>10.72</v>
      </c>
      <c r="L46" s="120"/>
      <c r="M46" s="120"/>
      <c r="N46" s="120"/>
    </row>
    <row r="47" spans="1:14" ht="15" customHeight="1">
      <c r="A47" s="130" t="s">
        <v>532</v>
      </c>
      <c r="B47" s="131">
        <v>138</v>
      </c>
      <c r="C47" s="365">
        <v>17.52</v>
      </c>
      <c r="D47" s="365">
        <v>12.26</v>
      </c>
      <c r="E47" s="365">
        <v>11.16</v>
      </c>
      <c r="F47" s="138"/>
      <c r="G47" s="130" t="s">
        <v>532</v>
      </c>
      <c r="H47" s="131">
        <v>138</v>
      </c>
      <c r="I47" s="151">
        <f>ROUND(C47*Factores!F8,2)+PCSPT!E35</f>
        <v>27.47</v>
      </c>
      <c r="J47" s="132">
        <f>ROUND(D47*Factores!F10,2)</f>
        <v>12.06</v>
      </c>
      <c r="K47" s="132">
        <f>ROUND(E47*Factores!F10,2)</f>
        <v>10.98</v>
      </c>
      <c r="L47" s="120"/>
      <c r="M47" s="120"/>
      <c r="N47" s="120"/>
    </row>
    <row r="48" spans="1:14" ht="15" customHeight="1">
      <c r="A48" s="130" t="s">
        <v>532</v>
      </c>
      <c r="B48" s="131">
        <v>60</v>
      </c>
      <c r="C48" s="365">
        <v>17.52</v>
      </c>
      <c r="D48" s="365">
        <v>12.28</v>
      </c>
      <c r="E48" s="365">
        <v>11.18</v>
      </c>
      <c r="F48" s="138"/>
      <c r="G48" s="130" t="s">
        <v>532</v>
      </c>
      <c r="H48" s="131">
        <v>60</v>
      </c>
      <c r="I48" s="151">
        <f>ROUND(C48*Factores!F8,2)+PCSPT!E35</f>
        <v>27.47</v>
      </c>
      <c r="J48" s="132">
        <f>ROUND(ROUND(D48*Factores!F10,2)+CPSEE!E11,2)</f>
        <v>13.5</v>
      </c>
      <c r="K48" s="132">
        <f>ROUND(ROUND(E48*Factores!F10,2)+CPSEE!E11,2)</f>
        <v>12.42</v>
      </c>
      <c r="L48" s="120"/>
      <c r="M48" s="120"/>
      <c r="N48" s="120"/>
    </row>
    <row r="49" spans="1:14" ht="15" customHeight="1">
      <c r="A49" s="130" t="s">
        <v>533</v>
      </c>
      <c r="B49" s="131">
        <v>138</v>
      </c>
      <c r="C49" s="365">
        <v>17.52</v>
      </c>
      <c r="D49" s="365">
        <v>16.489999999999998</v>
      </c>
      <c r="E49" s="365">
        <v>11.37</v>
      </c>
      <c r="F49" s="138"/>
      <c r="G49" s="130" t="s">
        <v>533</v>
      </c>
      <c r="H49" s="131">
        <v>138</v>
      </c>
      <c r="I49" s="151">
        <f>ROUND(C49*Factores!F8,2)+PCSPT!E35</f>
        <v>27.47</v>
      </c>
      <c r="J49" s="132">
        <f>ROUND(D49*Factores!F10,2)</f>
        <v>16.22</v>
      </c>
      <c r="K49" s="132">
        <f>ROUND(E49*Factores!F10,2)</f>
        <v>11.18</v>
      </c>
      <c r="L49" s="120"/>
      <c r="M49" s="120"/>
      <c r="N49" s="120"/>
    </row>
    <row r="50" spans="1:14" ht="15" customHeight="1">
      <c r="A50" s="130" t="s">
        <v>534</v>
      </c>
      <c r="B50" s="131">
        <v>138</v>
      </c>
      <c r="C50" s="365">
        <v>17.52</v>
      </c>
      <c r="D50" s="365">
        <v>18.3</v>
      </c>
      <c r="E50" s="365">
        <v>12.12</v>
      </c>
      <c r="F50" s="138"/>
      <c r="G50" s="130" t="s">
        <v>534</v>
      </c>
      <c r="H50" s="131">
        <v>138</v>
      </c>
      <c r="I50" s="151">
        <f>ROUND(C50*Factores!F8,2)+PCSPT!E35</f>
        <v>27.47</v>
      </c>
      <c r="J50" s="132">
        <f>ROUND(D50*Factores!F10,2)</f>
        <v>18</v>
      </c>
      <c r="K50" s="132">
        <f>ROUND(E50*Factores!F10,2)</f>
        <v>11.92</v>
      </c>
      <c r="L50" s="120"/>
      <c r="M50" s="120"/>
      <c r="N50" s="120"/>
    </row>
    <row r="51" spans="1:14" ht="15" customHeight="1">
      <c r="A51" s="130" t="s">
        <v>530</v>
      </c>
      <c r="B51" s="131">
        <v>138</v>
      </c>
      <c r="C51" s="365">
        <v>17.52</v>
      </c>
      <c r="D51" s="365">
        <v>12.24</v>
      </c>
      <c r="E51" s="365">
        <v>11.26</v>
      </c>
      <c r="F51" s="138"/>
      <c r="G51" s="130" t="s">
        <v>530</v>
      </c>
      <c r="H51" s="131">
        <v>138</v>
      </c>
      <c r="I51" s="151">
        <f>ROUND(C51*Factores!F8,2)+PCSPT!E35</f>
        <v>27.47</v>
      </c>
      <c r="J51" s="132">
        <f>ROUND(D51*Factores!F10,2)</f>
        <v>12.04</v>
      </c>
      <c r="K51" s="132">
        <f>ROUND(E51*Factores!F10,2)</f>
        <v>11.08</v>
      </c>
      <c r="L51" s="120"/>
      <c r="M51" s="120"/>
      <c r="N51" s="120"/>
    </row>
    <row r="52" spans="1:14" ht="15" customHeight="1">
      <c r="A52" s="130" t="s">
        <v>535</v>
      </c>
      <c r="B52" s="131">
        <v>138</v>
      </c>
      <c r="C52" s="365">
        <v>17.52</v>
      </c>
      <c r="D52" s="365">
        <v>12.27</v>
      </c>
      <c r="E52" s="365">
        <v>11.26</v>
      </c>
      <c r="F52" s="138"/>
      <c r="G52" s="130" t="s">
        <v>535</v>
      </c>
      <c r="H52" s="131">
        <v>138</v>
      </c>
      <c r="I52" s="151">
        <f>ROUND(C52*Factores!F8,2)+PCSPT!E35</f>
        <v>27.47</v>
      </c>
      <c r="J52" s="132">
        <f>ROUND(D52*Factores!F10,2)</f>
        <v>12.07</v>
      </c>
      <c r="K52" s="132">
        <f>ROUND(E52*Factores!F10,2)</f>
        <v>11.08</v>
      </c>
      <c r="L52" s="120"/>
      <c r="M52" s="120"/>
      <c r="N52" s="120"/>
    </row>
    <row r="53" spans="1:14" ht="15" customHeight="1">
      <c r="A53" s="130" t="s">
        <v>536</v>
      </c>
      <c r="B53" s="131">
        <v>138</v>
      </c>
      <c r="C53" s="365">
        <v>17.52</v>
      </c>
      <c r="D53" s="365">
        <v>12.19</v>
      </c>
      <c r="E53" s="365">
        <v>11.17</v>
      </c>
      <c r="F53" s="138"/>
      <c r="G53" s="130" t="s">
        <v>536</v>
      </c>
      <c r="H53" s="131">
        <v>138</v>
      </c>
      <c r="I53" s="151">
        <f>ROUND(C53*Factores!F8,2)+PCSPT!E35</f>
        <v>27.47</v>
      </c>
      <c r="J53" s="132">
        <f>ROUND(D53*Factores!F10,2)</f>
        <v>11.99</v>
      </c>
      <c r="K53" s="132">
        <f>ROUND(E53*Factores!F10,2)</f>
        <v>10.99</v>
      </c>
      <c r="L53" s="120"/>
      <c r="M53" s="120"/>
      <c r="N53" s="120"/>
    </row>
    <row r="54" spans="1:14" ht="15" customHeight="1">
      <c r="A54" s="130" t="s">
        <v>537</v>
      </c>
      <c r="B54" s="131">
        <v>220</v>
      </c>
      <c r="C54" s="365">
        <v>17.52</v>
      </c>
      <c r="D54" s="365">
        <v>11.64</v>
      </c>
      <c r="E54" s="365">
        <v>10.69</v>
      </c>
      <c r="F54" s="138"/>
      <c r="G54" s="130" t="s">
        <v>537</v>
      </c>
      <c r="H54" s="131">
        <v>220</v>
      </c>
      <c r="I54" s="151">
        <f>ROUND(C54*Factores!F8,2)+PCSPT!E35</f>
        <v>27.47</v>
      </c>
      <c r="J54" s="132">
        <f>ROUND(D54*Factores!F10,2)</f>
        <v>11.45</v>
      </c>
      <c r="K54" s="132">
        <f>ROUND(E54*Factores!F10,2)</f>
        <v>10.51</v>
      </c>
      <c r="L54" s="120"/>
      <c r="M54" s="120"/>
      <c r="N54" s="120"/>
    </row>
    <row r="55" spans="1:14" ht="15" customHeight="1">
      <c r="A55" s="130" t="s">
        <v>538</v>
      </c>
      <c r="B55" s="131">
        <v>138</v>
      </c>
      <c r="C55" s="365">
        <v>17.52</v>
      </c>
      <c r="D55" s="365">
        <v>11.37</v>
      </c>
      <c r="E55" s="365">
        <v>10.45</v>
      </c>
      <c r="F55" s="138"/>
      <c r="G55" s="130" t="s">
        <v>538</v>
      </c>
      <c r="H55" s="131">
        <v>138</v>
      </c>
      <c r="I55" s="151">
        <f>ROUND(C55*Factores!F8,2)+PCSPT!E35</f>
        <v>27.47</v>
      </c>
      <c r="J55" s="132">
        <f>ROUND(D55*Factores!F10,2)</f>
        <v>11.18</v>
      </c>
      <c r="K55" s="132">
        <f>ROUND(E55*Factores!F10,2)</f>
        <v>10.28</v>
      </c>
      <c r="L55" s="120"/>
      <c r="M55" s="120"/>
      <c r="N55" s="120"/>
    </row>
    <row r="56" spans="1:14" ht="15" customHeight="1">
      <c r="A56" s="130" t="s">
        <v>539</v>
      </c>
      <c r="B56" s="131">
        <v>138</v>
      </c>
      <c r="C56" s="365">
        <v>17.52</v>
      </c>
      <c r="D56" s="365">
        <v>11.37</v>
      </c>
      <c r="E56" s="365">
        <v>10.45</v>
      </c>
      <c r="F56" s="138"/>
      <c r="G56" s="130" t="s">
        <v>539</v>
      </c>
      <c r="H56" s="131">
        <v>138</v>
      </c>
      <c r="I56" s="151">
        <f>ROUND(C56*Factores!F8,2)+PCSPT!E35</f>
        <v>27.47</v>
      </c>
      <c r="J56" s="132">
        <f>ROUND(D56*Factores!F10,2)</f>
        <v>11.18</v>
      </c>
      <c r="K56" s="132">
        <f>ROUND(E56*Factores!F10,2)</f>
        <v>10.28</v>
      </c>
      <c r="L56" s="120"/>
      <c r="M56" s="120"/>
      <c r="N56" s="120"/>
    </row>
    <row r="57" spans="1:14" ht="15" customHeight="1">
      <c r="A57" s="130" t="s">
        <v>539</v>
      </c>
      <c r="B57" s="131">
        <v>220</v>
      </c>
      <c r="C57" s="365">
        <v>17.52</v>
      </c>
      <c r="D57" s="365">
        <v>11.41</v>
      </c>
      <c r="E57" s="365">
        <v>10.49</v>
      </c>
      <c r="F57" s="138"/>
      <c r="G57" s="130" t="s">
        <v>539</v>
      </c>
      <c r="H57" s="131">
        <v>220</v>
      </c>
      <c r="I57" s="151">
        <f>ROUND(C57*Factores!F8,2)+PCSPT!E35</f>
        <v>27.47</v>
      </c>
      <c r="J57" s="132">
        <f>ROUND(D57*Factores!F10,2)</f>
        <v>11.22</v>
      </c>
      <c r="K57" s="132">
        <f>ROUND(E57*Factores!F10,2)</f>
        <v>10.32</v>
      </c>
      <c r="L57" s="120"/>
      <c r="M57" s="120"/>
      <c r="N57" s="120"/>
    </row>
    <row r="58" spans="1:14" ht="15" customHeight="1">
      <c r="A58" s="130" t="s">
        <v>540</v>
      </c>
      <c r="B58" s="131">
        <v>220</v>
      </c>
      <c r="C58" s="365">
        <v>17.52</v>
      </c>
      <c r="D58" s="365">
        <v>11.66</v>
      </c>
      <c r="E58" s="365">
        <v>10.68</v>
      </c>
      <c r="F58" s="138"/>
      <c r="G58" s="130" t="s">
        <v>540</v>
      </c>
      <c r="H58" s="131">
        <v>220</v>
      </c>
      <c r="I58" s="151">
        <f>ROUND(C58*Factores!F8,2)+PCSPT!E35</f>
        <v>27.47</v>
      </c>
      <c r="J58" s="132">
        <f>ROUND(D58*Factores!F10,2)</f>
        <v>11.47</v>
      </c>
      <c r="K58" s="132">
        <f>ROUND(E58*Factores!F10,2)</f>
        <v>10.5</v>
      </c>
      <c r="L58" s="120"/>
      <c r="M58" s="120"/>
      <c r="N58" s="120"/>
    </row>
    <row r="59" spans="1:14" ht="15" customHeight="1">
      <c r="A59" s="130" t="s">
        <v>540</v>
      </c>
      <c r="B59" s="131">
        <v>138</v>
      </c>
      <c r="C59" s="365">
        <v>17.52</v>
      </c>
      <c r="D59" s="365">
        <v>11.81</v>
      </c>
      <c r="E59" s="365">
        <v>10.86</v>
      </c>
      <c r="F59" s="138"/>
      <c r="G59" s="130" t="s">
        <v>540</v>
      </c>
      <c r="H59" s="131">
        <v>138</v>
      </c>
      <c r="I59" s="151">
        <f>ROUND(C59*Factores!F8,2)+PCSPT!E35</f>
        <v>27.47</v>
      </c>
      <c r="J59" s="132">
        <f>ROUND(D59*Factores!F10,2)</f>
        <v>11.62</v>
      </c>
      <c r="K59" s="132">
        <f>ROUND(E59*Factores!F10,2)</f>
        <v>10.68</v>
      </c>
      <c r="L59" s="120"/>
      <c r="M59" s="120"/>
      <c r="N59" s="120"/>
    </row>
    <row r="60" spans="1:14" ht="15" customHeight="1">
      <c r="A60" s="130" t="s">
        <v>540</v>
      </c>
      <c r="B60" s="131">
        <v>50</v>
      </c>
      <c r="C60" s="365">
        <v>17.52</v>
      </c>
      <c r="D60" s="365">
        <v>12.26</v>
      </c>
      <c r="E60" s="365">
        <v>11.23</v>
      </c>
      <c r="F60" s="138"/>
      <c r="G60" s="130" t="s">
        <v>540</v>
      </c>
      <c r="H60" s="131">
        <v>50</v>
      </c>
      <c r="I60" s="151">
        <f>ROUND(C60*Factores!F8,2)+PCSPT!E35</f>
        <v>27.47</v>
      </c>
      <c r="J60" s="132">
        <f>ROUND(D60*Factores!F10,2)</f>
        <v>12.06</v>
      </c>
      <c r="K60" s="132">
        <f>ROUND(E60*Factores!F10,2)</f>
        <v>11.05</v>
      </c>
      <c r="L60" s="120"/>
      <c r="M60" s="120"/>
      <c r="N60" s="120"/>
    </row>
    <row r="61" spans="1:14" ht="15" customHeight="1">
      <c r="A61" s="130" t="s">
        <v>541</v>
      </c>
      <c r="B61" s="131">
        <v>138</v>
      </c>
      <c r="C61" s="365">
        <v>17.52</v>
      </c>
      <c r="D61" s="365">
        <v>10.97</v>
      </c>
      <c r="E61" s="365">
        <v>10.24</v>
      </c>
      <c r="F61" s="138"/>
      <c r="G61" s="130" t="s">
        <v>541</v>
      </c>
      <c r="H61" s="131">
        <v>138</v>
      </c>
      <c r="I61" s="151">
        <f>ROUND(C61*Factores!F8,2)+PCSPT!E35</f>
        <v>27.47</v>
      </c>
      <c r="J61" s="132">
        <f>ROUND(D61*Factores!F10,2)</f>
        <v>10.79</v>
      </c>
      <c r="K61" s="132">
        <f>ROUND(E61*Factores!F10,2)</f>
        <v>10.07</v>
      </c>
      <c r="L61" s="120"/>
      <c r="M61" s="120"/>
      <c r="N61" s="120"/>
    </row>
    <row r="62" spans="1:14" ht="15" customHeight="1">
      <c r="A62" s="130" t="s">
        <v>542</v>
      </c>
      <c r="B62" s="131">
        <v>220</v>
      </c>
      <c r="C62" s="365">
        <v>17.52</v>
      </c>
      <c r="D62" s="365">
        <v>11.48</v>
      </c>
      <c r="E62" s="365">
        <v>10.55</v>
      </c>
      <c r="F62" s="138"/>
      <c r="G62" s="130" t="s">
        <v>542</v>
      </c>
      <c r="H62" s="131">
        <v>220</v>
      </c>
      <c r="I62" s="151">
        <f>ROUND(C62*Factores!F8,2)+PCSPT!E35</f>
        <v>27.47</v>
      </c>
      <c r="J62" s="132">
        <f>ROUND(D62*Factores!F10,2)</f>
        <v>11.29</v>
      </c>
      <c r="K62" s="132">
        <f>ROUND(E62*Factores!F10,2)</f>
        <v>10.38</v>
      </c>
      <c r="L62" s="120"/>
      <c r="M62" s="120"/>
      <c r="N62" s="120"/>
    </row>
    <row r="63" spans="1:14" ht="15" customHeight="1">
      <c r="A63" s="130" t="s">
        <v>543</v>
      </c>
      <c r="B63" s="131">
        <v>138</v>
      </c>
      <c r="C63" s="365">
        <v>17.52</v>
      </c>
      <c r="D63" s="365">
        <v>11.53</v>
      </c>
      <c r="E63" s="365">
        <v>10.65</v>
      </c>
      <c r="F63" s="138"/>
      <c r="G63" s="130" t="s">
        <v>543</v>
      </c>
      <c r="H63" s="131">
        <v>138</v>
      </c>
      <c r="I63" s="151">
        <f>ROUND(C63*Factores!F8,2)+PCSPT!E35</f>
        <v>27.47</v>
      </c>
      <c r="J63" s="132">
        <f>ROUND(D63*Factores!F10,2)</f>
        <v>11.34</v>
      </c>
      <c r="K63" s="132">
        <f>ROUND(E63*Factores!F10,2)</f>
        <v>10.48</v>
      </c>
      <c r="L63" s="120"/>
      <c r="M63" s="120"/>
      <c r="N63" s="120"/>
    </row>
    <row r="64" spans="1:14" ht="15" customHeight="1">
      <c r="A64" s="130" t="s">
        <v>544</v>
      </c>
      <c r="B64" s="131">
        <v>220</v>
      </c>
      <c r="C64" s="365">
        <v>17.52</v>
      </c>
      <c r="D64" s="365">
        <v>11.56</v>
      </c>
      <c r="E64" s="365">
        <v>10.6</v>
      </c>
      <c r="F64" s="138"/>
      <c r="G64" s="130" t="s">
        <v>544</v>
      </c>
      <c r="H64" s="131">
        <v>220</v>
      </c>
      <c r="I64" s="151">
        <f>ROUND(C64*Factores!F8,2)+PCSPT!E35</f>
        <v>27.47</v>
      </c>
      <c r="J64" s="132">
        <f>ROUND(D64*Factores!F10,2)</f>
        <v>11.37</v>
      </c>
      <c r="K64" s="132">
        <f>ROUND(E64*Factores!F10,2)</f>
        <v>10.43</v>
      </c>
      <c r="L64" s="120"/>
      <c r="M64" s="120"/>
      <c r="N64" s="120"/>
    </row>
    <row r="65" spans="1:14" ht="15" customHeight="1">
      <c r="A65" s="130" t="s">
        <v>545</v>
      </c>
      <c r="B65" s="131">
        <v>138</v>
      </c>
      <c r="C65" s="365">
        <v>17.52</v>
      </c>
      <c r="D65" s="365">
        <v>11.55</v>
      </c>
      <c r="E65" s="365">
        <v>10.67</v>
      </c>
      <c r="F65" s="138"/>
      <c r="G65" s="130" t="s">
        <v>545</v>
      </c>
      <c r="H65" s="131">
        <v>138</v>
      </c>
      <c r="I65" s="151">
        <f>ROUND(C65*Factores!F8,2)+PCSPT!E35</f>
        <v>27.47</v>
      </c>
      <c r="J65" s="132">
        <f>ROUND(D65*Factores!F10,2)</f>
        <v>11.36</v>
      </c>
      <c r="K65" s="132">
        <f>ROUND(E65*Factores!F10,2)</f>
        <v>10.5</v>
      </c>
      <c r="L65" s="120"/>
      <c r="M65" s="120"/>
      <c r="N65" s="120"/>
    </row>
    <row r="66" spans="1:14" ht="15" customHeight="1">
      <c r="A66" s="130" t="s">
        <v>545</v>
      </c>
      <c r="B66" s="131">
        <v>44</v>
      </c>
      <c r="C66" s="365">
        <v>17.52</v>
      </c>
      <c r="D66" s="365">
        <v>11.55</v>
      </c>
      <c r="E66" s="365">
        <v>10.67</v>
      </c>
      <c r="F66" s="138"/>
      <c r="G66" s="130" t="s">
        <v>545</v>
      </c>
      <c r="H66" s="131">
        <v>44</v>
      </c>
      <c r="I66" s="151">
        <f>ROUND(C66*Factores!F8,2)+PCSPT!E35</f>
        <v>27.47</v>
      </c>
      <c r="J66" s="132">
        <f>ROUND(D66*Factores!F10,2)</f>
        <v>11.36</v>
      </c>
      <c r="K66" s="132">
        <f>ROUND(E66*Factores!F10,2)</f>
        <v>10.5</v>
      </c>
      <c r="L66" s="120"/>
      <c r="M66" s="120"/>
      <c r="N66" s="120"/>
    </row>
    <row r="67" spans="1:14" ht="15" customHeight="1">
      <c r="A67" s="130" t="s">
        <v>546</v>
      </c>
      <c r="B67" s="131">
        <v>138</v>
      </c>
      <c r="C67" s="365">
        <v>17.52</v>
      </c>
      <c r="D67" s="365">
        <v>13.05</v>
      </c>
      <c r="E67" s="365">
        <v>11.33</v>
      </c>
      <c r="F67" s="138"/>
      <c r="G67" s="130" t="s">
        <v>546</v>
      </c>
      <c r="H67" s="131">
        <v>138</v>
      </c>
      <c r="I67" s="151">
        <f>ROUND(C67*Factores!F8,2)+PCSPT!E35</f>
        <v>27.47</v>
      </c>
      <c r="J67" s="132">
        <f>ROUND(D67*Factores!F10,2)</f>
        <v>12.84</v>
      </c>
      <c r="K67" s="132">
        <f>ROUND(E67*Factores!F10,2)</f>
        <v>11.14</v>
      </c>
      <c r="L67" s="120"/>
      <c r="M67" s="120"/>
      <c r="N67" s="120"/>
    </row>
    <row r="68" spans="1:14" ht="15" customHeight="1">
      <c r="A68" s="130" t="s">
        <v>547</v>
      </c>
      <c r="B68" s="131">
        <v>138</v>
      </c>
      <c r="C68" s="365">
        <v>17.52</v>
      </c>
      <c r="D68" s="365">
        <v>13.45</v>
      </c>
      <c r="E68" s="365">
        <v>11.68</v>
      </c>
      <c r="F68" s="138"/>
      <c r="G68" s="130" t="s">
        <v>547</v>
      </c>
      <c r="H68" s="131">
        <v>138</v>
      </c>
      <c r="I68" s="151">
        <f>ROUND(C68*Factores!F8,2)+PCSPT!E35</f>
        <v>27.47</v>
      </c>
      <c r="J68" s="132">
        <f>ROUND(D68*Factores!F10,2)</f>
        <v>13.23</v>
      </c>
      <c r="K68" s="132">
        <f>ROUND(E68*Factores!F10,2)</f>
        <v>11.49</v>
      </c>
      <c r="L68" s="120"/>
      <c r="M68" s="120"/>
      <c r="N68" s="120"/>
    </row>
    <row r="69" spans="1:14" ht="15" customHeight="1">
      <c r="A69" s="130" t="s">
        <v>58</v>
      </c>
      <c r="B69" s="131">
        <v>138</v>
      </c>
      <c r="C69" s="365">
        <v>17.52</v>
      </c>
      <c r="D69" s="365">
        <v>13.43</v>
      </c>
      <c r="E69" s="365">
        <v>11.68</v>
      </c>
      <c r="F69" s="138"/>
      <c r="G69" s="130" t="s">
        <v>58</v>
      </c>
      <c r="H69" s="131">
        <v>138</v>
      </c>
      <c r="I69" s="151">
        <f>ROUND(C69*Factores!F8,2)+PCSPT!E35</f>
        <v>27.47</v>
      </c>
      <c r="J69" s="132">
        <f>ROUND(D69*Factores!F10,2)</f>
        <v>13.21</v>
      </c>
      <c r="K69" s="132">
        <f>ROUND(E69*Factores!F10,2)</f>
        <v>11.49</v>
      </c>
      <c r="L69" s="120"/>
      <c r="M69" s="120"/>
      <c r="N69" s="120"/>
    </row>
    <row r="70" spans="1:14" ht="15" customHeight="1">
      <c r="A70" s="130" t="s">
        <v>548</v>
      </c>
      <c r="B70" s="131">
        <v>138</v>
      </c>
      <c r="C70" s="365">
        <v>17.52</v>
      </c>
      <c r="D70" s="365">
        <v>13.4</v>
      </c>
      <c r="E70" s="365">
        <v>11.81</v>
      </c>
      <c r="F70" s="138"/>
      <c r="G70" s="130" t="s">
        <v>548</v>
      </c>
      <c r="H70" s="131">
        <v>138</v>
      </c>
      <c r="I70" s="151">
        <f>ROUND(C70*Factores!F8,2)+PCSPT!E35</f>
        <v>27.47</v>
      </c>
      <c r="J70" s="132">
        <f>ROUND(D70*Factores!F10,2)</f>
        <v>13.18</v>
      </c>
      <c r="K70" s="132">
        <f>ROUND(E70*Factores!F10,2)</f>
        <v>11.62</v>
      </c>
      <c r="L70" s="120"/>
      <c r="M70" s="120"/>
      <c r="N70" s="120"/>
    </row>
    <row r="71" spans="1:14" ht="15" customHeight="1">
      <c r="A71" s="130" t="s">
        <v>549</v>
      </c>
      <c r="B71" s="131">
        <v>138</v>
      </c>
      <c r="C71" s="365">
        <v>17.52</v>
      </c>
      <c r="D71" s="365">
        <v>13.32</v>
      </c>
      <c r="E71" s="365">
        <v>11.94</v>
      </c>
      <c r="F71" s="138"/>
      <c r="G71" s="130" t="s">
        <v>549</v>
      </c>
      <c r="H71" s="131">
        <v>138</v>
      </c>
      <c r="I71" s="151">
        <f>ROUND(C71*Factores!F8,2)+PCSPT!E35</f>
        <v>27.47</v>
      </c>
      <c r="J71" s="132">
        <f>ROUND(D71*Factores!F10,2)</f>
        <v>13.1</v>
      </c>
      <c r="K71" s="132">
        <f>ROUND(E71*Factores!F10,2)</f>
        <v>11.74</v>
      </c>
      <c r="L71" s="120"/>
      <c r="M71" s="120"/>
      <c r="N71" s="120"/>
    </row>
    <row r="72" spans="1:14" ht="15" customHeight="1">
      <c r="A72" s="130" t="s">
        <v>550</v>
      </c>
      <c r="B72" s="131">
        <v>138</v>
      </c>
      <c r="C72" s="365">
        <v>17.52</v>
      </c>
      <c r="D72" s="365">
        <v>12.94</v>
      </c>
      <c r="E72" s="365">
        <v>11.67</v>
      </c>
      <c r="F72" s="138"/>
      <c r="G72" s="130" t="s">
        <v>550</v>
      </c>
      <c r="H72" s="131">
        <v>138</v>
      </c>
      <c r="I72" s="151">
        <f>ROUND(C72*Factores!F8,2)+PCSPT!E35</f>
        <v>27.47</v>
      </c>
      <c r="J72" s="132">
        <f>ROUND(D72*Factores!F10,2)</f>
        <v>12.73</v>
      </c>
      <c r="K72" s="132">
        <f>ROUND(E72*Factores!F10,2)</f>
        <v>11.48</v>
      </c>
      <c r="L72" s="120"/>
      <c r="M72" s="120"/>
      <c r="N72" s="120"/>
    </row>
    <row r="73" spans="1:14" ht="15" customHeight="1">
      <c r="A73" s="130" t="s">
        <v>551</v>
      </c>
      <c r="B73" s="131">
        <v>138</v>
      </c>
      <c r="C73" s="365">
        <v>17.52</v>
      </c>
      <c r="D73" s="365">
        <v>12.72</v>
      </c>
      <c r="E73" s="365">
        <v>11.31</v>
      </c>
      <c r="F73" s="138"/>
      <c r="G73" s="130" t="s">
        <v>551</v>
      </c>
      <c r="H73" s="131">
        <v>138</v>
      </c>
      <c r="I73" s="151">
        <f>ROUND(C73*Factores!F8,2)+PCSPT!E35</f>
        <v>27.47</v>
      </c>
      <c r="J73" s="132">
        <f>ROUND(D73*Factores!F10,2)</f>
        <v>12.51</v>
      </c>
      <c r="K73" s="132">
        <f>ROUND(E73*Factores!F10,2)</f>
        <v>11.12</v>
      </c>
      <c r="L73" s="120"/>
      <c r="M73" s="120"/>
      <c r="N73" s="120"/>
    </row>
    <row r="74" spans="1:14" ht="15" customHeight="1">
      <c r="A74" s="130" t="s">
        <v>552</v>
      </c>
      <c r="B74" s="131">
        <v>138</v>
      </c>
      <c r="C74" s="365">
        <v>17.52</v>
      </c>
      <c r="D74" s="365">
        <v>12.72</v>
      </c>
      <c r="E74" s="365">
        <v>11.31</v>
      </c>
      <c r="F74" s="138"/>
      <c r="G74" s="130" t="s">
        <v>552</v>
      </c>
      <c r="H74" s="131">
        <v>138</v>
      </c>
      <c r="I74" s="151">
        <f>ROUND(C74*Factores!F8,2)+PCSPT!E35</f>
        <v>27.47</v>
      </c>
      <c r="J74" s="132">
        <f>ROUND(D74*Factores!F10,2)</f>
        <v>12.51</v>
      </c>
      <c r="K74" s="132">
        <f>ROUND(E74*Factores!F10,2)</f>
        <v>11.12</v>
      </c>
      <c r="L74" s="120"/>
      <c r="M74" s="120"/>
      <c r="N74" s="120"/>
    </row>
    <row r="75" spans="1:14" ht="15" customHeight="1">
      <c r="A75" s="130" t="s">
        <v>553</v>
      </c>
      <c r="B75" s="131">
        <v>138</v>
      </c>
      <c r="C75" s="365">
        <v>17.52</v>
      </c>
      <c r="D75" s="365">
        <v>12.81</v>
      </c>
      <c r="E75" s="365">
        <v>11.36</v>
      </c>
      <c r="F75" s="138"/>
      <c r="G75" s="130" t="s">
        <v>553</v>
      </c>
      <c r="H75" s="131">
        <v>138</v>
      </c>
      <c r="I75" s="151">
        <f>ROUND(C75*Factores!F8,2)+PCSPT!E35</f>
        <v>27.47</v>
      </c>
      <c r="J75" s="132">
        <f>ROUND(D75*Factores!F10,2)</f>
        <v>12.6</v>
      </c>
      <c r="K75" s="132">
        <f>ROUND(E75*Factores!F10,2)</f>
        <v>11.17</v>
      </c>
      <c r="L75" s="120"/>
      <c r="M75" s="120"/>
      <c r="N75" s="120"/>
    </row>
    <row r="76" spans="1:14" ht="15" customHeight="1">
      <c r="A76" s="130" t="s">
        <v>554</v>
      </c>
      <c r="B76" s="131">
        <v>138</v>
      </c>
      <c r="C76" s="365">
        <v>17.52</v>
      </c>
      <c r="D76" s="365">
        <v>13</v>
      </c>
      <c r="E76" s="365">
        <v>11.47</v>
      </c>
      <c r="F76" s="138"/>
      <c r="G76" s="130" t="s">
        <v>554</v>
      </c>
      <c r="H76" s="131">
        <v>138</v>
      </c>
      <c r="I76" s="151">
        <f>ROUND(C76*Factores!F8,2)+PCSPT!E35</f>
        <v>27.47</v>
      </c>
      <c r="J76" s="132">
        <f>ROUND(D76*Factores!F10,2)</f>
        <v>12.79</v>
      </c>
      <c r="K76" s="132">
        <f>ROUND(E76*Factores!F10,2)</f>
        <v>11.28</v>
      </c>
      <c r="L76" s="120"/>
      <c r="M76" s="120"/>
      <c r="N76" s="120"/>
    </row>
    <row r="77" spans="1:14" ht="15" customHeight="1">
      <c r="A77" s="130" t="s">
        <v>555</v>
      </c>
      <c r="B77" s="131">
        <v>138</v>
      </c>
      <c r="C77" s="365">
        <v>17.52</v>
      </c>
      <c r="D77" s="365">
        <v>13.03</v>
      </c>
      <c r="E77" s="365">
        <v>11.67</v>
      </c>
      <c r="F77" s="138"/>
      <c r="G77" s="130" t="s">
        <v>555</v>
      </c>
      <c r="H77" s="131">
        <v>138</v>
      </c>
      <c r="I77" s="151">
        <f>ROUND(C77*Factores!F8,2)+PCSPT!E35</f>
        <v>27.47</v>
      </c>
      <c r="J77" s="132">
        <f>ROUND(D77*Factores!F10,2)</f>
        <v>12.82</v>
      </c>
      <c r="K77" s="132">
        <f>ROUND(E77*Factores!F10,2)</f>
        <v>11.48</v>
      </c>
      <c r="L77" s="120"/>
      <c r="M77" s="120"/>
      <c r="N77" s="120"/>
    </row>
    <row r="78" spans="1:14" ht="15" customHeight="1">
      <c r="A78" s="130" t="s">
        <v>556</v>
      </c>
      <c r="B78" s="131">
        <v>138</v>
      </c>
      <c r="C78" s="365">
        <v>17.52</v>
      </c>
      <c r="D78" s="365">
        <v>13.08</v>
      </c>
      <c r="E78" s="365">
        <v>11.79</v>
      </c>
      <c r="F78" s="138"/>
      <c r="G78" s="130" t="s">
        <v>556</v>
      </c>
      <c r="H78" s="131">
        <v>138</v>
      </c>
      <c r="I78" s="151">
        <f>ROUND(C78*Factores!F8,2)+PCSPT!E35</f>
        <v>27.47</v>
      </c>
      <c r="J78" s="132">
        <f>ROUND(D78*Factores!F10,2)</f>
        <v>12.87</v>
      </c>
      <c r="K78" s="132">
        <f>ROUND(E78*Factores!F10,2)</f>
        <v>11.6</v>
      </c>
      <c r="L78" s="120"/>
      <c r="M78" s="120"/>
      <c r="N78" s="120"/>
    </row>
    <row r="79" spans="1:14" ht="15" customHeight="1">
      <c r="A79" s="130" t="s">
        <v>556</v>
      </c>
      <c r="B79" s="131">
        <v>220</v>
      </c>
      <c r="C79" s="365">
        <v>17.52</v>
      </c>
      <c r="D79" s="365">
        <v>13.1</v>
      </c>
      <c r="E79" s="365">
        <v>11.8</v>
      </c>
      <c r="F79" s="138"/>
      <c r="G79" s="130" t="s">
        <v>556</v>
      </c>
      <c r="H79" s="131">
        <v>220</v>
      </c>
      <c r="I79" s="151">
        <f>ROUND(C79*Factores!F8,2)+PCSPT!E35</f>
        <v>27.47</v>
      </c>
      <c r="J79" s="132">
        <f>ROUND(D79*Factores!F10,2)</f>
        <v>12.89</v>
      </c>
      <c r="K79" s="132">
        <f>ROUND(E79*Factores!F10,2)</f>
        <v>11.61</v>
      </c>
      <c r="L79" s="120"/>
      <c r="M79" s="120"/>
      <c r="N79" s="120"/>
    </row>
    <row r="80" spans="1:14" ht="15" customHeight="1">
      <c r="A80" s="130" t="s">
        <v>557</v>
      </c>
      <c r="B80" s="131">
        <v>138</v>
      </c>
      <c r="C80" s="365">
        <v>17.52</v>
      </c>
      <c r="D80" s="365">
        <v>13.15</v>
      </c>
      <c r="E80" s="365">
        <v>11.84</v>
      </c>
      <c r="F80" s="138"/>
      <c r="G80" s="130" t="s">
        <v>557</v>
      </c>
      <c r="H80" s="131">
        <v>138</v>
      </c>
      <c r="I80" s="151">
        <f>ROUND(C80*Factores!F8,2)+PCSPT!E35</f>
        <v>27.47</v>
      </c>
      <c r="J80" s="132">
        <f>ROUND(D80*Factores!F10,2)</f>
        <v>12.93</v>
      </c>
      <c r="K80" s="132">
        <f>ROUND(E80*Factores!F10,2)</f>
        <v>11.65</v>
      </c>
      <c r="L80" s="120"/>
      <c r="M80" s="120"/>
      <c r="N80" s="120"/>
    </row>
    <row r="81" spans="1:14" ht="15" customHeight="1">
      <c r="A81" s="130" t="s">
        <v>558</v>
      </c>
      <c r="B81" s="131">
        <v>138</v>
      </c>
      <c r="C81" s="365">
        <v>17.52</v>
      </c>
      <c r="D81" s="365">
        <v>12.91</v>
      </c>
      <c r="E81" s="365">
        <v>11.7</v>
      </c>
      <c r="F81" s="138"/>
      <c r="G81" s="130" t="s">
        <v>558</v>
      </c>
      <c r="H81" s="131">
        <v>138</v>
      </c>
      <c r="I81" s="151">
        <f>ROUND(C81*Factores!F8,2)+PCSPT!E35</f>
        <v>27.47</v>
      </c>
      <c r="J81" s="132">
        <f>ROUND(D81*Factores!F10,2)</f>
        <v>12.7</v>
      </c>
      <c r="K81" s="132">
        <f>ROUND(E81*Factores!F10,2)</f>
        <v>11.51</v>
      </c>
      <c r="L81" s="120"/>
      <c r="M81" s="120"/>
      <c r="N81" s="120"/>
    </row>
    <row r="82" spans="1:14" ht="15" customHeight="1">
      <c r="A82" s="130" t="s">
        <v>559</v>
      </c>
      <c r="B82" s="131">
        <v>138</v>
      </c>
      <c r="C82" s="365">
        <v>17.52</v>
      </c>
      <c r="D82" s="365">
        <v>12.97</v>
      </c>
      <c r="E82" s="365">
        <v>11.75</v>
      </c>
      <c r="F82" s="138"/>
      <c r="G82" s="130" t="s">
        <v>559</v>
      </c>
      <c r="H82" s="131">
        <v>138</v>
      </c>
      <c r="I82" s="151">
        <f>ROUND(C82*Factores!F8,2)+PCSPT!E35</f>
        <v>27.47</v>
      </c>
      <c r="J82" s="132">
        <f>ROUND(D82*Factores!F10,2)</f>
        <v>12.76</v>
      </c>
      <c r="K82" s="132">
        <f>ROUND(E82*Factores!F10,2)</f>
        <v>11.56</v>
      </c>
      <c r="L82" s="120"/>
      <c r="M82" s="120"/>
      <c r="N82" s="120"/>
    </row>
    <row r="83" spans="1:14" ht="15" customHeight="1">
      <c r="A83" s="130" t="s">
        <v>560</v>
      </c>
      <c r="B83" s="131">
        <v>220</v>
      </c>
      <c r="C83" s="365">
        <v>17.52</v>
      </c>
      <c r="D83" s="365">
        <v>12.96</v>
      </c>
      <c r="E83" s="365">
        <v>11.74</v>
      </c>
      <c r="F83" s="138"/>
      <c r="G83" s="130" t="s">
        <v>560</v>
      </c>
      <c r="H83" s="131">
        <v>220</v>
      </c>
      <c r="I83" s="151">
        <f>ROUND(C83*Factores!F8,2)+PCSPT!E35</f>
        <v>27.47</v>
      </c>
      <c r="J83" s="132">
        <f>ROUND(D83*Factores!F10,2)</f>
        <v>12.75</v>
      </c>
      <c r="K83" s="132">
        <f>ROUND(E83*Factores!F10,2)</f>
        <v>11.55</v>
      </c>
      <c r="L83" s="120"/>
      <c r="M83" s="120"/>
      <c r="N83" s="120"/>
    </row>
    <row r="84" spans="1:14" ht="15" customHeight="1">
      <c r="A84" s="130" t="s">
        <v>561</v>
      </c>
      <c r="B84" s="131">
        <v>138</v>
      </c>
      <c r="C84" s="365">
        <v>17.52</v>
      </c>
      <c r="D84" s="365">
        <v>13</v>
      </c>
      <c r="E84" s="365">
        <v>11.78</v>
      </c>
      <c r="F84" s="138"/>
      <c r="G84" s="130" t="s">
        <v>561</v>
      </c>
      <c r="H84" s="131">
        <v>138</v>
      </c>
      <c r="I84" s="151">
        <f>ROUND(C84*Factores!F8,2)+PCSPT!E35</f>
        <v>27.47</v>
      </c>
      <c r="J84" s="132">
        <f>ROUND(D84*Factores!F10,2)</f>
        <v>12.79</v>
      </c>
      <c r="K84" s="132">
        <f>ROUND(E84*Factores!F10,2)</f>
        <v>11.59</v>
      </c>
      <c r="L84" s="120"/>
      <c r="M84" s="120"/>
      <c r="N84" s="120"/>
    </row>
    <row r="85" spans="1:14" ht="15" customHeight="1">
      <c r="A85" s="130" t="s">
        <v>562</v>
      </c>
      <c r="B85" s="131">
        <v>138</v>
      </c>
      <c r="C85" s="365">
        <v>17.52</v>
      </c>
      <c r="D85" s="365">
        <v>13.05</v>
      </c>
      <c r="E85" s="365">
        <v>11.8</v>
      </c>
      <c r="F85" s="138"/>
      <c r="G85" s="130" t="s">
        <v>562</v>
      </c>
      <c r="H85" s="131">
        <v>138</v>
      </c>
      <c r="I85" s="151">
        <f>ROUND(C85*Factores!F8,2)+PCSPT!E35</f>
        <v>27.47</v>
      </c>
      <c r="J85" s="132">
        <f>ROUND(D85*Factores!F10,2)</f>
        <v>12.84</v>
      </c>
      <c r="K85" s="132">
        <f>ROUND(E85*Factores!F10,2)</f>
        <v>11.61</v>
      </c>
      <c r="L85" s="120"/>
      <c r="M85" s="120"/>
      <c r="N85" s="120"/>
    </row>
    <row r="86" spans="1:14" ht="15" customHeight="1">
      <c r="A86" s="130" t="s">
        <v>563</v>
      </c>
      <c r="B86" s="131">
        <v>138</v>
      </c>
      <c r="C86" s="365">
        <v>17.52</v>
      </c>
      <c r="D86" s="365">
        <v>13.09</v>
      </c>
      <c r="E86" s="365">
        <v>11.82</v>
      </c>
      <c r="F86" s="138"/>
      <c r="G86" s="130" t="s">
        <v>563</v>
      </c>
      <c r="H86" s="131">
        <v>138</v>
      </c>
      <c r="I86" s="151">
        <f>ROUND(C86*Factores!F8,2)+PCSPT!E35</f>
        <v>27.47</v>
      </c>
      <c r="J86" s="132">
        <f>ROUND(D86*Factores!F10,2)</f>
        <v>12.88</v>
      </c>
      <c r="K86" s="132">
        <f>ROUND(E86*Factores!F10,2)</f>
        <v>11.63</v>
      </c>
      <c r="L86" s="120"/>
      <c r="M86" s="120"/>
      <c r="N86" s="120"/>
    </row>
    <row r="87" spans="1:14" ht="15" customHeight="1">
      <c r="A87" s="130" t="s">
        <v>564</v>
      </c>
      <c r="B87" s="131">
        <v>220</v>
      </c>
      <c r="C87" s="365">
        <v>17.52</v>
      </c>
      <c r="D87" s="365">
        <v>13.12</v>
      </c>
      <c r="E87" s="365">
        <v>11.87</v>
      </c>
      <c r="F87" s="138"/>
      <c r="G87" s="130" t="s">
        <v>564</v>
      </c>
      <c r="H87" s="131">
        <v>220</v>
      </c>
      <c r="I87" s="151">
        <f>ROUND(C87*Factores!F8,2)+PCSPT!E35</f>
        <v>27.47</v>
      </c>
      <c r="J87" s="132">
        <f>ROUND(D87*Factores!F10,2)</f>
        <v>12.9</v>
      </c>
      <c r="K87" s="132">
        <f>ROUND(E87*Factores!F10,2)</f>
        <v>11.68</v>
      </c>
      <c r="L87" s="120"/>
      <c r="M87" s="120"/>
      <c r="N87" s="120"/>
    </row>
    <row r="88" spans="1:14" ht="15" customHeight="1">
      <c r="A88" s="130" t="s">
        <v>564</v>
      </c>
      <c r="B88" s="131">
        <v>138</v>
      </c>
      <c r="C88" s="365">
        <v>17.52</v>
      </c>
      <c r="D88" s="365">
        <v>13.13</v>
      </c>
      <c r="E88" s="365">
        <v>11.88</v>
      </c>
      <c r="F88" s="138"/>
      <c r="G88" s="130" t="s">
        <v>564</v>
      </c>
      <c r="H88" s="131">
        <v>138</v>
      </c>
      <c r="I88" s="151">
        <f>ROUND(C88*Factores!F8,2)+PCSPT!E35</f>
        <v>27.47</v>
      </c>
      <c r="J88" s="132">
        <f>ROUND(D88*Factores!F10,2)</f>
        <v>12.91</v>
      </c>
      <c r="K88" s="132">
        <f>ROUND(E88*Factores!F10,2)</f>
        <v>11.69</v>
      </c>
      <c r="L88" s="120"/>
      <c r="M88" s="120"/>
      <c r="N88" s="120"/>
    </row>
    <row r="89" spans="1:14" ht="15" customHeight="1">
      <c r="A89" s="130" t="s">
        <v>565</v>
      </c>
      <c r="B89" s="131">
        <v>138</v>
      </c>
      <c r="C89" s="365">
        <v>17.52</v>
      </c>
      <c r="D89" s="365">
        <v>13.3</v>
      </c>
      <c r="E89" s="365">
        <v>12.03</v>
      </c>
      <c r="F89" s="138"/>
      <c r="G89" s="130" t="s">
        <v>565</v>
      </c>
      <c r="H89" s="131">
        <v>138</v>
      </c>
      <c r="I89" s="151">
        <f>ROUND(C89*Factores!F8,2)+PCSPT!E35</f>
        <v>27.47</v>
      </c>
      <c r="J89" s="132">
        <f>ROUND(D89*Factores!F10,2)</f>
        <v>13.08</v>
      </c>
      <c r="K89" s="132">
        <f>ROUND(E89*Factores!F10,2)</f>
        <v>11.83</v>
      </c>
      <c r="L89" s="120"/>
      <c r="M89" s="120"/>
      <c r="N89" s="120"/>
    </row>
    <row r="90" spans="1:14" ht="15" customHeight="1">
      <c r="A90" s="130" t="s">
        <v>566</v>
      </c>
      <c r="B90" s="131">
        <v>138</v>
      </c>
      <c r="C90" s="365">
        <v>17.52</v>
      </c>
      <c r="D90" s="365">
        <v>13.2</v>
      </c>
      <c r="E90" s="365">
        <v>11.95</v>
      </c>
      <c r="F90" s="138"/>
      <c r="G90" s="130" t="s">
        <v>566</v>
      </c>
      <c r="H90" s="131">
        <v>138</v>
      </c>
      <c r="I90" s="151">
        <f>ROUND(C90*Factores!F8,2)+PCSPT!E35</f>
        <v>27.47</v>
      </c>
      <c r="J90" s="132">
        <f>ROUND(D90*Factores!F10,2)</f>
        <v>12.98</v>
      </c>
      <c r="K90" s="132">
        <f>ROUND(E90*Factores!F10,2)</f>
        <v>11.75</v>
      </c>
      <c r="L90" s="120"/>
      <c r="M90" s="120"/>
      <c r="N90" s="120"/>
    </row>
    <row r="91" spans="1:14" ht="15" customHeight="1">
      <c r="A91" s="130" t="s">
        <v>567</v>
      </c>
      <c r="B91" s="131">
        <v>138</v>
      </c>
      <c r="C91" s="365">
        <v>17.52</v>
      </c>
      <c r="D91" s="365">
        <v>13.24</v>
      </c>
      <c r="E91" s="365">
        <v>12</v>
      </c>
      <c r="F91" s="138"/>
      <c r="G91" s="130" t="s">
        <v>567</v>
      </c>
      <c r="H91" s="131">
        <v>138</v>
      </c>
      <c r="I91" s="151">
        <f>ROUND(C91*Factores!F8,2)+PCSPT!E35</f>
        <v>27.47</v>
      </c>
      <c r="J91" s="132">
        <f>ROUND(D91*Factores!F10,2)</f>
        <v>13.02</v>
      </c>
      <c r="K91" s="132">
        <f>ROUND(E91*Factores!F10,2)</f>
        <v>11.8</v>
      </c>
      <c r="L91" s="120"/>
      <c r="M91" s="120"/>
      <c r="N91" s="120"/>
    </row>
    <row r="92" spans="1:14" ht="15" customHeight="1">
      <c r="A92" s="130" t="s">
        <v>568</v>
      </c>
      <c r="B92" s="131">
        <v>138</v>
      </c>
      <c r="C92" s="365">
        <v>17.52</v>
      </c>
      <c r="D92" s="365">
        <v>13.13</v>
      </c>
      <c r="E92" s="365">
        <v>11.96</v>
      </c>
      <c r="F92" s="138"/>
      <c r="G92" s="130" t="s">
        <v>568</v>
      </c>
      <c r="H92" s="131">
        <v>138</v>
      </c>
      <c r="I92" s="151">
        <f>ROUND(C92*Factores!F8,2)+PCSPT!E35</f>
        <v>27.47</v>
      </c>
      <c r="J92" s="132">
        <f>ROUND(D92*Factores!F10,2)</f>
        <v>12.91</v>
      </c>
      <c r="K92" s="132">
        <f>ROUND(E92*Factores!F10,2)</f>
        <v>11.76</v>
      </c>
      <c r="L92" s="120"/>
      <c r="M92" s="120"/>
      <c r="N92" s="120"/>
    </row>
    <row r="93" spans="1:14" ht="15" customHeight="1">
      <c r="A93" s="130" t="s">
        <v>568</v>
      </c>
      <c r="B93" s="131">
        <v>66</v>
      </c>
      <c r="C93" s="365">
        <v>17.52</v>
      </c>
      <c r="D93" s="365">
        <v>13.08</v>
      </c>
      <c r="E93" s="365">
        <v>11.94</v>
      </c>
      <c r="F93" s="138"/>
      <c r="G93" s="130" t="s">
        <v>568</v>
      </c>
      <c r="H93" s="131">
        <v>66</v>
      </c>
      <c r="I93" s="151">
        <f>ROUND(C93*Factores!F8,2)+PCSPT!E35</f>
        <v>27.47</v>
      </c>
      <c r="J93" s="132">
        <f>ROUND(ROUND(D93*Factores!F10,2)+CPSEE!E10,2)</f>
        <v>13.26</v>
      </c>
      <c r="K93" s="132">
        <f>ROUND(ROUND(E93*Factores!F10,2)+CPSEE!E10,2)</f>
        <v>12.13</v>
      </c>
      <c r="L93" s="120"/>
      <c r="M93" s="120"/>
      <c r="N93" s="120"/>
    </row>
    <row r="94" spans="1:14" ht="15" customHeight="1">
      <c r="A94" s="130" t="s">
        <v>569</v>
      </c>
      <c r="B94" s="131">
        <v>220</v>
      </c>
      <c r="C94" s="365">
        <v>17.52</v>
      </c>
      <c r="D94" s="365">
        <v>13.22</v>
      </c>
      <c r="E94" s="365">
        <v>11.93</v>
      </c>
      <c r="F94" s="138"/>
      <c r="G94" s="130" t="s">
        <v>569</v>
      </c>
      <c r="H94" s="131">
        <v>220</v>
      </c>
      <c r="I94" s="151">
        <f>ROUND(C94*Factores!F8,2)+PCSPT!E35</f>
        <v>27.47</v>
      </c>
      <c r="J94" s="132">
        <f>ROUND(D94*Factores!F10,2)</f>
        <v>13</v>
      </c>
      <c r="K94" s="132">
        <f>ROUND(E94*Factores!F10,2)</f>
        <v>11.73</v>
      </c>
      <c r="L94" s="120"/>
      <c r="M94" s="120"/>
      <c r="N94" s="120"/>
    </row>
    <row r="95" spans="1:14" ht="15" customHeight="1">
      <c r="A95" s="130" t="s">
        <v>569</v>
      </c>
      <c r="B95" s="131">
        <v>66</v>
      </c>
      <c r="C95" s="365">
        <v>17.52</v>
      </c>
      <c r="D95" s="365">
        <v>13.32</v>
      </c>
      <c r="E95" s="365">
        <v>11.98</v>
      </c>
      <c r="F95" s="138"/>
      <c r="G95" s="130" t="s">
        <v>569</v>
      </c>
      <c r="H95" s="131">
        <v>66</v>
      </c>
      <c r="I95" s="151">
        <f>ROUND(C95*Factores!F8,2)+PCSPT!E35</f>
        <v>27.47</v>
      </c>
      <c r="J95" s="132">
        <f>ROUND(ROUND(D95*Factores!F10,2)+CPSEE!E10,2)</f>
        <v>13.49</v>
      </c>
      <c r="K95" s="132">
        <f>ROUND(ROUND(E95*Factores!F10,2)+CPSEE!E10,2)</f>
        <v>12.17</v>
      </c>
      <c r="L95" s="120"/>
      <c r="M95" s="120"/>
      <c r="N95" s="120"/>
    </row>
    <row r="96" spans="1:14" ht="15" customHeight="1" thickBot="1">
      <c r="A96" s="141" t="s">
        <v>571</v>
      </c>
      <c r="B96" s="142">
        <v>220</v>
      </c>
      <c r="C96" s="144">
        <f>ROUND((C10-C11)*111/(110+111)+C11,2)</f>
        <v>17.52</v>
      </c>
      <c r="D96" s="144">
        <f>ROUND((D10-D11)*111/(110+111)+D11,2)</f>
        <v>12.94</v>
      </c>
      <c r="E96" s="144">
        <f>ROUND((E10-E11)*111/(110+111)+E11,2)</f>
        <v>11.82</v>
      </c>
      <c r="F96" s="138"/>
      <c r="G96" s="141" t="s">
        <v>571</v>
      </c>
      <c r="H96" s="142">
        <v>220</v>
      </c>
      <c r="I96" s="152">
        <f>ROUND(C96*Factores!F8,2)+PCSPT!E35</f>
        <v>27.47</v>
      </c>
      <c r="J96" s="144">
        <f>ROUND(D96*Factores!F10,2)</f>
        <v>12.73</v>
      </c>
      <c r="K96" s="144">
        <f>ROUND(E96*Factores!F10,2)</f>
        <v>11.63</v>
      </c>
      <c r="L96" s="120"/>
      <c r="M96" s="120"/>
      <c r="N96" s="120"/>
    </row>
    <row r="97" spans="1:14" ht="16.5" thickBot="1">
      <c r="A97" s="124" t="s">
        <v>604</v>
      </c>
      <c r="B97" s="133"/>
      <c r="C97" s="134"/>
      <c r="D97" s="134"/>
      <c r="E97" s="134"/>
      <c r="G97" s="124" t="s">
        <v>604</v>
      </c>
      <c r="H97" s="124"/>
      <c r="I97" s="134"/>
      <c r="J97" s="134"/>
      <c r="K97" s="134"/>
      <c r="L97" s="120"/>
      <c r="M97" s="120"/>
      <c r="N97" s="120"/>
    </row>
    <row r="98" spans="1:14">
      <c r="A98" s="126" t="s">
        <v>31</v>
      </c>
      <c r="B98" s="127" t="s">
        <v>570</v>
      </c>
      <c r="C98" s="364">
        <v>17.28</v>
      </c>
      <c r="D98" s="364">
        <v>22.95</v>
      </c>
      <c r="E98" s="364">
        <v>22.95</v>
      </c>
      <c r="G98" s="126" t="s">
        <v>31</v>
      </c>
      <c r="H98" s="127" t="s">
        <v>570</v>
      </c>
      <c r="I98" s="150">
        <f>ROUND(C98*Factores!F12,2)</f>
        <v>17.13</v>
      </c>
      <c r="J98" s="129">
        <f>ROUND(D98*Factores!F12,2)</f>
        <v>22.75</v>
      </c>
      <c r="K98" s="129">
        <f>ROUND(E98*Factores!F12,2)</f>
        <v>22.75</v>
      </c>
      <c r="L98" s="120"/>
      <c r="M98" s="120"/>
      <c r="N98" s="120"/>
    </row>
    <row r="99" spans="1:14">
      <c r="A99" s="130" t="s">
        <v>32</v>
      </c>
      <c r="B99" s="131" t="s">
        <v>570</v>
      </c>
      <c r="C99" s="365">
        <v>17.28</v>
      </c>
      <c r="D99" s="365">
        <v>22.95</v>
      </c>
      <c r="E99" s="365">
        <v>22.95</v>
      </c>
      <c r="G99" s="130" t="s">
        <v>32</v>
      </c>
      <c r="H99" s="131" t="s">
        <v>570</v>
      </c>
      <c r="I99" s="151">
        <f>ROUND(C99*Factores!F13,2)</f>
        <v>17.13</v>
      </c>
      <c r="J99" s="132">
        <f>ROUND(D99*Factores!F13,2)</f>
        <v>22.75</v>
      </c>
      <c r="K99" s="132">
        <f>ROUND(E99*Factores!F13,2)</f>
        <v>22.75</v>
      </c>
      <c r="L99" s="120"/>
      <c r="M99" s="120"/>
      <c r="N99" s="120"/>
    </row>
    <row r="100" spans="1:14">
      <c r="A100" s="130" t="s">
        <v>12</v>
      </c>
      <c r="B100" s="131" t="s">
        <v>570</v>
      </c>
      <c r="C100" s="365">
        <v>17.28</v>
      </c>
      <c r="D100" s="365">
        <v>22.95</v>
      </c>
      <c r="E100" s="365">
        <v>22.95</v>
      </c>
      <c r="G100" s="130" t="s">
        <v>12</v>
      </c>
      <c r="H100" s="131" t="s">
        <v>570</v>
      </c>
      <c r="I100" s="151">
        <f>ROUND(C100*Factores!F14,2)</f>
        <v>17.13</v>
      </c>
      <c r="J100" s="132">
        <f>ROUND(D100*Factores!F14,2)</f>
        <v>22.75</v>
      </c>
      <c r="K100" s="132">
        <f>ROUND(E100*Factores!F14,2)</f>
        <v>22.75</v>
      </c>
      <c r="L100" s="120"/>
      <c r="M100" s="120"/>
      <c r="N100" s="120"/>
    </row>
    <row r="101" spans="1:14">
      <c r="A101" s="130" t="s">
        <v>372</v>
      </c>
      <c r="B101" s="131" t="s">
        <v>570</v>
      </c>
      <c r="C101" s="132">
        <f>C98</f>
        <v>17.28</v>
      </c>
      <c r="D101" s="132">
        <f>D98</f>
        <v>22.95</v>
      </c>
      <c r="E101" s="132">
        <f>E98</f>
        <v>22.95</v>
      </c>
      <c r="G101" s="130" t="s">
        <v>372</v>
      </c>
      <c r="H101" s="131" t="s">
        <v>570</v>
      </c>
      <c r="I101" s="151">
        <f>ROUND(C101*Factores!F15,2)</f>
        <v>17.13</v>
      </c>
      <c r="J101" s="132">
        <f>ROUND(D101*Factores!F15,2)</f>
        <v>22.75</v>
      </c>
      <c r="K101" s="132">
        <f>ROUND(E101*Factores!F15,2)</f>
        <v>22.75</v>
      </c>
      <c r="L101" s="120"/>
      <c r="M101" s="120"/>
      <c r="N101" s="120"/>
    </row>
    <row r="102" spans="1:14">
      <c r="A102" s="130" t="s">
        <v>33</v>
      </c>
      <c r="B102" s="131" t="s">
        <v>570</v>
      </c>
      <c r="C102" s="365">
        <v>17.28</v>
      </c>
      <c r="D102" s="365">
        <v>59.11</v>
      </c>
      <c r="E102" s="365">
        <v>59.11</v>
      </c>
      <c r="G102" s="130" t="s">
        <v>33</v>
      </c>
      <c r="H102" s="131" t="s">
        <v>570</v>
      </c>
      <c r="I102" s="151">
        <f>ROUND(C102*Factores!F16,2)</f>
        <v>16.79</v>
      </c>
      <c r="J102" s="132">
        <f>ROUND(D102*Factores!F16,2)</f>
        <v>57.45</v>
      </c>
      <c r="K102" s="132">
        <f>ROUND(E102*Factores!F16,2)</f>
        <v>57.45</v>
      </c>
      <c r="L102" s="120"/>
      <c r="M102" s="120"/>
      <c r="N102" s="120"/>
    </row>
    <row r="103" spans="1:14">
      <c r="A103" s="130" t="s">
        <v>34</v>
      </c>
      <c r="B103" s="131" t="s">
        <v>570</v>
      </c>
      <c r="C103" s="365">
        <v>17.28</v>
      </c>
      <c r="D103" s="365">
        <v>86.47</v>
      </c>
      <c r="E103" s="365">
        <v>86.47</v>
      </c>
      <c r="G103" s="130" t="s">
        <v>34</v>
      </c>
      <c r="H103" s="131" t="s">
        <v>570</v>
      </c>
      <c r="I103" s="151">
        <f>ROUND(C103*Factores!F17,2)</f>
        <v>17.600000000000001</v>
      </c>
      <c r="J103" s="132">
        <f>ROUND(D103*Factores!F17,2)</f>
        <v>88.07</v>
      </c>
      <c r="K103" s="132">
        <f>ROUND(E103*Factores!F17,2)</f>
        <v>88.07</v>
      </c>
      <c r="L103" s="120"/>
      <c r="M103" s="120"/>
      <c r="N103" s="120"/>
    </row>
    <row r="104" spans="1:14">
      <c r="A104" s="130" t="s">
        <v>35</v>
      </c>
      <c r="B104" s="131" t="s">
        <v>570</v>
      </c>
      <c r="C104" s="365">
        <v>17.28</v>
      </c>
      <c r="D104" s="365">
        <v>22.95</v>
      </c>
      <c r="E104" s="365">
        <v>22.95</v>
      </c>
      <c r="G104" s="130" t="s">
        <v>35</v>
      </c>
      <c r="H104" s="131" t="s">
        <v>570</v>
      </c>
      <c r="I104" s="151">
        <f>ROUND(C104*Factores!F18,2)</f>
        <v>17.13</v>
      </c>
      <c r="J104" s="132">
        <f>ROUND(D104*Factores!F18,2)</f>
        <v>22.75</v>
      </c>
      <c r="K104" s="132">
        <f>ROUND(E104*Factores!F18,2)</f>
        <v>22.75</v>
      </c>
      <c r="L104" s="120"/>
      <c r="M104" s="120"/>
      <c r="N104" s="120"/>
    </row>
    <row r="105" spans="1:14">
      <c r="A105" s="130" t="s">
        <v>14</v>
      </c>
      <c r="B105" s="131" t="s">
        <v>570</v>
      </c>
      <c r="C105" s="365">
        <v>17.28</v>
      </c>
      <c r="D105" s="365">
        <v>22.95</v>
      </c>
      <c r="E105" s="365">
        <v>22.95</v>
      </c>
      <c r="G105" s="130" t="s">
        <v>14</v>
      </c>
      <c r="H105" s="131" t="s">
        <v>570</v>
      </c>
      <c r="I105" s="151">
        <f>ROUND(C105*Factores!F19,2)</f>
        <v>17.13</v>
      </c>
      <c r="J105" s="132">
        <f>ROUND(D105*Factores!F19,2)</f>
        <v>22.75</v>
      </c>
      <c r="K105" s="132">
        <f>ROUND(E105*Factores!F19,2)</f>
        <v>22.75</v>
      </c>
      <c r="L105" s="120"/>
      <c r="M105" s="120"/>
      <c r="N105" s="120"/>
    </row>
    <row r="106" spans="1:14">
      <c r="A106" s="130" t="s">
        <v>36</v>
      </c>
      <c r="B106" s="131" t="s">
        <v>570</v>
      </c>
      <c r="C106" s="365">
        <v>17.28</v>
      </c>
      <c r="D106" s="365">
        <v>27.21</v>
      </c>
      <c r="E106" s="365">
        <v>27.21</v>
      </c>
      <c r="G106" s="130" t="s">
        <v>36</v>
      </c>
      <c r="H106" s="131" t="s">
        <v>570</v>
      </c>
      <c r="I106" s="151">
        <f>ROUND(C106*Factores!F20,2)</f>
        <v>17.16</v>
      </c>
      <c r="J106" s="132">
        <f>ROUND(D106*Factores!F20,2)</f>
        <v>27.02</v>
      </c>
      <c r="K106" s="132">
        <f>ROUND(E106*Factores!F20,2)</f>
        <v>27.02</v>
      </c>
      <c r="L106" s="120"/>
      <c r="M106" s="120"/>
      <c r="N106" s="120"/>
    </row>
    <row r="107" spans="1:14">
      <c r="A107" s="130" t="s">
        <v>37</v>
      </c>
      <c r="B107" s="131" t="s">
        <v>570</v>
      </c>
      <c r="C107" s="365">
        <v>17.28</v>
      </c>
      <c r="D107" s="365">
        <v>26.34</v>
      </c>
      <c r="E107" s="365">
        <v>26.34</v>
      </c>
      <c r="G107" s="130" t="s">
        <v>37</v>
      </c>
      <c r="H107" s="131" t="s">
        <v>570</v>
      </c>
      <c r="I107" s="151">
        <f>ROUND(C107*Factores!F21,2)</f>
        <v>17.16</v>
      </c>
      <c r="J107" s="132">
        <f>ROUND(D107*Factores!F21,2)</f>
        <v>26.15</v>
      </c>
      <c r="K107" s="132">
        <f>ROUND(E107*Factores!F21,2)</f>
        <v>26.15</v>
      </c>
      <c r="L107" s="120"/>
      <c r="M107" s="120"/>
      <c r="N107" s="120"/>
    </row>
    <row r="108" spans="1:14" ht="15.75" thickBot="1">
      <c r="A108" s="135" t="s">
        <v>13</v>
      </c>
      <c r="B108" s="136" t="s">
        <v>570</v>
      </c>
      <c r="C108" s="367">
        <v>17.28</v>
      </c>
      <c r="D108" s="367">
        <v>56.24</v>
      </c>
      <c r="E108" s="367">
        <v>56.24</v>
      </c>
      <c r="G108" s="135" t="s">
        <v>13</v>
      </c>
      <c r="H108" s="136" t="s">
        <v>570</v>
      </c>
      <c r="I108" s="152">
        <f>ROUND(C108*Factores!F22,2)</f>
        <v>17.36</v>
      </c>
      <c r="J108" s="143">
        <f>ROUND(D108*Factores!F22,2)</f>
        <v>56.49</v>
      </c>
      <c r="K108" s="143">
        <f>ROUND(E108*Factores!F22,2)</f>
        <v>56.49</v>
      </c>
      <c r="L108" s="120"/>
      <c r="M108" s="120"/>
      <c r="N108" s="120"/>
    </row>
    <row r="109" spans="1:14" ht="17.25" customHeight="1" thickBot="1">
      <c r="A109" s="124" t="s">
        <v>605</v>
      </c>
      <c r="B109" s="133"/>
      <c r="C109" s="134"/>
      <c r="D109" s="134"/>
      <c r="E109" s="134"/>
      <c r="F109" s="138"/>
      <c r="G109" s="124" t="s">
        <v>605</v>
      </c>
      <c r="H109" s="119"/>
      <c r="I109" s="120"/>
      <c r="J109" s="120"/>
      <c r="K109" s="120"/>
      <c r="L109" s="120"/>
      <c r="M109" s="120"/>
      <c r="N109" s="120"/>
    </row>
    <row r="110" spans="1:14" ht="15" customHeight="1">
      <c r="A110" s="126" t="s">
        <v>31</v>
      </c>
      <c r="B110" s="127" t="s">
        <v>570</v>
      </c>
      <c r="C110" s="364">
        <v>17.28</v>
      </c>
      <c r="D110" s="364">
        <v>17.75</v>
      </c>
      <c r="E110" s="364">
        <v>17.75</v>
      </c>
      <c r="F110" s="138"/>
      <c r="G110" s="126" t="s">
        <v>31</v>
      </c>
      <c r="H110" s="127" t="s">
        <v>570</v>
      </c>
      <c r="I110" s="150">
        <f>ROUND(C110+C98*(Factores!F12-1),2)</f>
        <v>17.13</v>
      </c>
      <c r="J110" s="129">
        <f>ROUND(D110+D98*(Factores!F12-1),2)</f>
        <v>17.55</v>
      </c>
      <c r="K110" s="129">
        <f>ROUND(E110+E98*(Factores!F12-1),2)</f>
        <v>17.55</v>
      </c>
      <c r="L110" s="120"/>
      <c r="M110" s="120"/>
      <c r="N110" s="120"/>
    </row>
    <row r="111" spans="1:14" ht="15" customHeight="1">
      <c r="A111" s="130" t="s">
        <v>32</v>
      </c>
      <c r="B111" s="131" t="s">
        <v>570</v>
      </c>
      <c r="C111" s="365">
        <v>17.28</v>
      </c>
      <c r="D111" s="365">
        <v>17.75</v>
      </c>
      <c r="E111" s="365">
        <v>17.75</v>
      </c>
      <c r="F111" s="138"/>
      <c r="G111" s="130" t="s">
        <v>32</v>
      </c>
      <c r="H111" s="131" t="s">
        <v>570</v>
      </c>
      <c r="I111" s="151">
        <f>ROUND(C111+C99*(Factores!F13-1),2)</f>
        <v>17.13</v>
      </c>
      <c r="J111" s="132">
        <f>ROUND(D111+D99*(Factores!F13-1),2)</f>
        <v>17.55</v>
      </c>
      <c r="K111" s="132">
        <f>ROUND(E111+E99*(Factores!F13-1),2)</f>
        <v>17.55</v>
      </c>
      <c r="L111" s="120"/>
      <c r="M111" s="120"/>
      <c r="N111" s="120"/>
    </row>
    <row r="112" spans="1:14" ht="15" customHeight="1">
      <c r="A112" s="130" t="s">
        <v>12</v>
      </c>
      <c r="B112" s="131" t="s">
        <v>570</v>
      </c>
      <c r="C112" s="365">
        <v>17.28</v>
      </c>
      <c r="D112" s="365">
        <v>17.75</v>
      </c>
      <c r="E112" s="365">
        <v>17.75</v>
      </c>
      <c r="F112" s="138"/>
      <c r="G112" s="130" t="s">
        <v>12</v>
      </c>
      <c r="H112" s="131" t="s">
        <v>570</v>
      </c>
      <c r="I112" s="151">
        <f>ROUND(C112+C100*(Factores!F14-1),2)</f>
        <v>17.13</v>
      </c>
      <c r="J112" s="132">
        <f>ROUND(D112+D100*(Factores!F14-1),2)</f>
        <v>17.55</v>
      </c>
      <c r="K112" s="132">
        <f>ROUND(E112+E100*(Factores!F14-1),2)</f>
        <v>17.55</v>
      </c>
      <c r="L112" s="120"/>
      <c r="M112" s="120"/>
      <c r="N112" s="120"/>
    </row>
    <row r="113" spans="1:14" ht="15" customHeight="1">
      <c r="A113" s="130" t="s">
        <v>372</v>
      </c>
      <c r="B113" s="131" t="s">
        <v>570</v>
      </c>
      <c r="C113" s="132">
        <f>C110</f>
        <v>17.28</v>
      </c>
      <c r="D113" s="132">
        <f>D110</f>
        <v>17.75</v>
      </c>
      <c r="E113" s="132">
        <f>E110</f>
        <v>17.75</v>
      </c>
      <c r="F113" s="138"/>
      <c r="G113" s="130" t="s">
        <v>372</v>
      </c>
      <c r="H113" s="131" t="s">
        <v>570</v>
      </c>
      <c r="I113" s="151">
        <f>ROUND(C113+C101*(Factores!F15-1),2)</f>
        <v>17.13</v>
      </c>
      <c r="J113" s="132">
        <f>ROUND(D113+D101*(Factores!F15-1),2)</f>
        <v>17.55</v>
      </c>
      <c r="K113" s="132">
        <f>ROUND(E113+E101*(Factores!F15-1),2)</f>
        <v>17.55</v>
      </c>
      <c r="L113" s="120"/>
      <c r="M113" s="120"/>
      <c r="N113" s="120"/>
    </row>
    <row r="114" spans="1:14" ht="15" customHeight="1">
      <c r="A114" s="130" t="s">
        <v>33</v>
      </c>
      <c r="B114" s="131" t="s">
        <v>570</v>
      </c>
      <c r="C114" s="365">
        <v>17.28</v>
      </c>
      <c r="D114" s="365">
        <v>25.43</v>
      </c>
      <c r="E114" s="365">
        <v>25.43</v>
      </c>
      <c r="F114" s="138"/>
      <c r="G114" s="130" t="s">
        <v>33</v>
      </c>
      <c r="H114" s="131" t="s">
        <v>570</v>
      </c>
      <c r="I114" s="151">
        <f>ROUND(C114+C102*(Factores!F16-1),2)</f>
        <v>16.79</v>
      </c>
      <c r="J114" s="132">
        <f>ROUND(D114+D102*(Factores!F16-1),2)</f>
        <v>23.77</v>
      </c>
      <c r="K114" s="132">
        <f>ROUND(E114+E102*(Factores!F16-1),2)</f>
        <v>23.77</v>
      </c>
      <c r="L114" s="120"/>
      <c r="M114" s="120"/>
      <c r="N114" s="120"/>
    </row>
    <row r="115" spans="1:14" ht="15" customHeight="1">
      <c r="A115" s="130" t="s">
        <v>34</v>
      </c>
      <c r="B115" s="131" t="s">
        <v>570</v>
      </c>
      <c r="C115" s="365">
        <v>17.28</v>
      </c>
      <c r="D115" s="365">
        <v>28.5</v>
      </c>
      <c r="E115" s="365">
        <v>28.5</v>
      </c>
      <c r="F115" s="138"/>
      <c r="G115" s="130" t="s">
        <v>34</v>
      </c>
      <c r="H115" s="131" t="s">
        <v>570</v>
      </c>
      <c r="I115" s="151">
        <f>ROUND(C115+C103*(Factores!F17-1),2)</f>
        <v>17.600000000000001</v>
      </c>
      <c r="J115" s="132">
        <f>ROUND(D115+D103*(Factores!F17-1),2)</f>
        <v>30.1</v>
      </c>
      <c r="K115" s="132">
        <f>ROUND(E115+E103*(Factores!F17-1),2)</f>
        <v>30.1</v>
      </c>
      <c r="L115" s="120"/>
      <c r="M115" s="120"/>
      <c r="N115" s="120"/>
    </row>
    <row r="116" spans="1:14" ht="15" customHeight="1">
      <c r="A116" s="130" t="s">
        <v>35</v>
      </c>
      <c r="B116" s="131" t="s">
        <v>570</v>
      </c>
      <c r="C116" s="365">
        <v>17.28</v>
      </c>
      <c r="D116" s="365">
        <v>17.75</v>
      </c>
      <c r="E116" s="365">
        <v>17.75</v>
      </c>
      <c r="F116" s="138"/>
      <c r="G116" s="130" t="s">
        <v>35</v>
      </c>
      <c r="H116" s="131" t="s">
        <v>570</v>
      </c>
      <c r="I116" s="151">
        <f>ROUND(C116+C104*(Factores!F18-1),2)</f>
        <v>17.13</v>
      </c>
      <c r="J116" s="132">
        <f>ROUND(D116+D104*(Factores!F18-1),2)</f>
        <v>17.55</v>
      </c>
      <c r="K116" s="132">
        <f>ROUND(E116+E104*(Factores!F18-1),2)</f>
        <v>17.55</v>
      </c>
      <c r="L116" s="120"/>
      <c r="M116" s="120"/>
      <c r="N116" s="120"/>
    </row>
    <row r="117" spans="1:14" ht="15" customHeight="1">
      <c r="A117" s="130" t="s">
        <v>14</v>
      </c>
      <c r="B117" s="131" t="s">
        <v>570</v>
      </c>
      <c r="C117" s="365">
        <v>17.28</v>
      </c>
      <c r="D117" s="365">
        <v>17.75</v>
      </c>
      <c r="E117" s="365">
        <v>17.75</v>
      </c>
      <c r="F117" s="138"/>
      <c r="G117" s="130" t="s">
        <v>14</v>
      </c>
      <c r="H117" s="131" t="s">
        <v>570</v>
      </c>
      <c r="I117" s="151">
        <f>ROUND(C117+C105*(Factores!F19-1),2)</f>
        <v>17.13</v>
      </c>
      <c r="J117" s="132">
        <f>ROUND(D117+D105*(Factores!F19-1),2)</f>
        <v>17.55</v>
      </c>
      <c r="K117" s="132">
        <f>ROUND(E117+E105*(Factores!F19-1),2)</f>
        <v>17.55</v>
      </c>
      <c r="L117" s="120"/>
      <c r="M117" s="120"/>
      <c r="N117" s="120"/>
    </row>
    <row r="118" spans="1:14" ht="15" customHeight="1">
      <c r="A118" s="130" t="s">
        <v>36</v>
      </c>
      <c r="B118" s="131" t="s">
        <v>570</v>
      </c>
      <c r="C118" s="365">
        <v>17.28</v>
      </c>
      <c r="D118" s="365">
        <v>17.73</v>
      </c>
      <c r="E118" s="365">
        <v>17.73</v>
      </c>
      <c r="F118" s="138"/>
      <c r="G118" s="130" t="s">
        <v>36</v>
      </c>
      <c r="H118" s="131" t="s">
        <v>570</v>
      </c>
      <c r="I118" s="151">
        <f>ROUND(C118+C106*(Factores!F20-1),2)</f>
        <v>17.16</v>
      </c>
      <c r="J118" s="132">
        <f>ROUND(D118+D106*(Factores!F20-1),2)</f>
        <v>17.54</v>
      </c>
      <c r="K118" s="132">
        <f>ROUND(E118+E106*(Factores!F20-1),2)</f>
        <v>17.54</v>
      </c>
      <c r="L118" s="120"/>
      <c r="M118" s="120"/>
      <c r="N118" s="120"/>
    </row>
    <row r="119" spans="1:14" ht="15" customHeight="1">
      <c r="A119" s="130" t="s">
        <v>37</v>
      </c>
      <c r="B119" s="131" t="s">
        <v>570</v>
      </c>
      <c r="C119" s="365">
        <v>17.28</v>
      </c>
      <c r="D119" s="365">
        <v>17.86</v>
      </c>
      <c r="E119" s="365">
        <v>17.86</v>
      </c>
      <c r="F119" s="138"/>
      <c r="G119" s="130" t="s">
        <v>37</v>
      </c>
      <c r="H119" s="131" t="s">
        <v>570</v>
      </c>
      <c r="I119" s="151">
        <f>ROUND(C119+C107*(Factores!F21-1),2)</f>
        <v>17.16</v>
      </c>
      <c r="J119" s="132">
        <f>ROUND(D119+D107*(Factores!F21-1),2)</f>
        <v>17.670000000000002</v>
      </c>
      <c r="K119" s="132">
        <f>ROUND(E119+E107*(Factores!F21-1),2)</f>
        <v>17.670000000000002</v>
      </c>
      <c r="L119" s="120"/>
      <c r="M119" s="120"/>
      <c r="N119" s="120"/>
    </row>
    <row r="120" spans="1:14" ht="15" customHeight="1" thickBot="1">
      <c r="A120" s="135" t="s">
        <v>13</v>
      </c>
      <c r="B120" s="136" t="s">
        <v>570</v>
      </c>
      <c r="C120" s="367">
        <v>17.28</v>
      </c>
      <c r="D120" s="367">
        <v>21.8</v>
      </c>
      <c r="E120" s="367">
        <v>21.8</v>
      </c>
      <c r="F120" s="138"/>
      <c r="G120" s="135" t="s">
        <v>13</v>
      </c>
      <c r="H120" s="136" t="s">
        <v>570</v>
      </c>
      <c r="I120" s="152">
        <f>ROUND(C120+C108*(Factores!F22-1),2)</f>
        <v>17.36</v>
      </c>
      <c r="J120" s="143">
        <f>ROUND(D120+D108*(Factores!F22-1),2)</f>
        <v>22.05</v>
      </c>
      <c r="K120" s="143">
        <f>ROUND(E120+E108*(Factores!F22-1),2)</f>
        <v>22.05</v>
      </c>
      <c r="L120" s="120"/>
      <c r="M120" s="120"/>
      <c r="N120" s="120"/>
    </row>
    <row r="121" spans="1:14">
      <c r="M121" s="120"/>
      <c r="N121" s="120"/>
    </row>
    <row r="122" spans="1:14" ht="21.75" customHeight="1" thickBot="1">
      <c r="A122" s="153" t="s">
        <v>730</v>
      </c>
      <c r="B122" s="153"/>
      <c r="C122" s="153"/>
      <c r="D122" s="153"/>
      <c r="E122" s="153"/>
      <c r="G122" s="175" t="s">
        <v>617</v>
      </c>
      <c r="H122" s="175"/>
      <c r="I122" s="175"/>
      <c r="J122" s="175"/>
      <c r="K122" s="175"/>
      <c r="L122" s="120"/>
      <c r="M122" s="120"/>
      <c r="N122" s="120"/>
    </row>
    <row r="123" spans="1:14">
      <c r="A123" s="168"/>
      <c r="B123" s="169"/>
      <c r="C123" s="173"/>
      <c r="D123" s="173"/>
      <c r="E123" s="170"/>
      <c r="G123" s="168"/>
      <c r="H123" s="169"/>
      <c r="I123" s="173"/>
      <c r="J123" s="173"/>
      <c r="K123" s="161"/>
      <c r="L123" s="120"/>
      <c r="M123" s="120"/>
      <c r="N123" s="120"/>
    </row>
    <row r="124" spans="1:14">
      <c r="A124" s="171"/>
      <c r="B124" s="158" t="s">
        <v>610</v>
      </c>
      <c r="D124" s="158" t="s">
        <v>602</v>
      </c>
      <c r="E124" s="793">
        <f>PCSPT!E35</f>
        <v>10.349999999999998</v>
      </c>
      <c r="G124" s="162" t="s">
        <v>589</v>
      </c>
      <c r="H124" s="159">
        <f>Factores!F12</f>
        <v>0.99150000000000005</v>
      </c>
      <c r="I124" s="160" t="s">
        <v>595</v>
      </c>
      <c r="J124" s="159">
        <f>Factores!F18</f>
        <v>0.99150000000000005</v>
      </c>
      <c r="K124" s="172"/>
      <c r="L124" s="120"/>
      <c r="M124" s="120"/>
      <c r="N124" s="120"/>
    </row>
    <row r="125" spans="1:14">
      <c r="A125" s="171"/>
      <c r="B125" s="158" t="s">
        <v>612</v>
      </c>
      <c r="D125" s="160" t="s">
        <v>611</v>
      </c>
      <c r="E125" s="163">
        <f>CPSEE!E11</f>
        <v>1.4193</v>
      </c>
      <c r="F125" s="138"/>
      <c r="G125" s="162" t="s">
        <v>590</v>
      </c>
      <c r="H125" s="159">
        <f>Factores!F13</f>
        <v>0.99150000000000005</v>
      </c>
      <c r="I125" s="160" t="s">
        <v>596</v>
      </c>
      <c r="J125" s="159">
        <f>Factores!F19</f>
        <v>0.99150000000000005</v>
      </c>
      <c r="K125" s="172"/>
      <c r="L125" s="120"/>
      <c r="M125" s="120"/>
      <c r="N125" s="120"/>
    </row>
    <row r="126" spans="1:14">
      <c r="A126" s="171"/>
      <c r="B126" s="158" t="s">
        <v>613</v>
      </c>
      <c r="D126" s="160" t="s">
        <v>611</v>
      </c>
      <c r="E126" s="163">
        <f>CPSEE!E10</f>
        <v>0.39489999999999997</v>
      </c>
      <c r="G126" s="162" t="s">
        <v>591</v>
      </c>
      <c r="H126" s="159">
        <f>Factores!F14</f>
        <v>0.99150000000000005</v>
      </c>
      <c r="I126" s="160" t="s">
        <v>597</v>
      </c>
      <c r="J126" s="159">
        <f>Factores!F20</f>
        <v>0.99319999999999997</v>
      </c>
      <c r="K126" s="172"/>
      <c r="L126" s="120"/>
      <c r="M126" s="120"/>
      <c r="N126" s="120"/>
    </row>
    <row r="127" spans="1:14">
      <c r="A127" s="171"/>
      <c r="B127" s="158" t="s">
        <v>615</v>
      </c>
      <c r="D127" s="160" t="s">
        <v>601</v>
      </c>
      <c r="E127" s="163">
        <f>Factores!F8</f>
        <v>0.97719999999999996</v>
      </c>
      <c r="G127" s="162" t="s">
        <v>592</v>
      </c>
      <c r="H127" s="159">
        <f>Factores!F15</f>
        <v>0.99150000000000005</v>
      </c>
      <c r="I127" s="160" t="s">
        <v>598</v>
      </c>
      <c r="J127" s="159">
        <f>Factores!F21</f>
        <v>0.99280000000000002</v>
      </c>
      <c r="K127" s="172"/>
    </row>
    <row r="128" spans="1:14">
      <c r="A128" s="171"/>
      <c r="B128" s="158" t="s">
        <v>616</v>
      </c>
      <c r="D128" s="160" t="s">
        <v>600</v>
      </c>
      <c r="E128" s="163">
        <f>Factores!F10</f>
        <v>0.98360000000000003</v>
      </c>
      <c r="G128" s="162" t="s">
        <v>593</v>
      </c>
      <c r="H128" s="159">
        <f>Factores!F16</f>
        <v>0.97189999999999999</v>
      </c>
      <c r="I128" s="160" t="s">
        <v>599</v>
      </c>
      <c r="J128" s="159">
        <f>Factores!F22</f>
        <v>1.0044</v>
      </c>
      <c r="K128" s="172"/>
    </row>
    <row r="129" spans="1:14">
      <c r="A129" s="171"/>
      <c r="B129" s="158"/>
      <c r="D129" s="160"/>
      <c r="E129" s="163"/>
      <c r="G129" s="162" t="s">
        <v>594</v>
      </c>
      <c r="H129" s="159">
        <f>Factores!F17</f>
        <v>1.0185</v>
      </c>
      <c r="I129" s="160"/>
      <c r="J129" s="159"/>
      <c r="K129" s="172"/>
      <c r="L129" s="120"/>
      <c r="M129" s="120"/>
      <c r="N129" s="120"/>
    </row>
    <row r="130" spans="1:14" ht="15.75" thickBot="1">
      <c r="A130" s="165"/>
      <c r="B130" s="154"/>
      <c r="C130" s="166"/>
      <c r="D130" s="166"/>
      <c r="E130" s="167"/>
      <c r="G130" s="165"/>
      <c r="H130" s="154"/>
      <c r="I130" s="166"/>
      <c r="J130" s="166"/>
      <c r="K130" s="167"/>
      <c r="L130" s="120"/>
      <c r="M130" s="120"/>
      <c r="N130" s="120"/>
    </row>
    <row r="132" spans="1:14" ht="15.75">
      <c r="A132" s="119" t="s">
        <v>607</v>
      </c>
      <c r="I132" s="120"/>
      <c r="J132" s="120"/>
      <c r="K132" s="120"/>
      <c r="L132" s="120"/>
      <c r="M132" s="120"/>
      <c r="N132" s="120"/>
    </row>
    <row r="133" spans="1:14">
      <c r="I133" s="120"/>
      <c r="J133" s="120"/>
      <c r="K133" s="120"/>
      <c r="L133" s="120"/>
      <c r="M133" s="120"/>
      <c r="N133" s="120"/>
    </row>
    <row r="134" spans="1:14">
      <c r="I134" s="120"/>
      <c r="J134" s="120"/>
      <c r="K134" s="120"/>
      <c r="L134" s="120"/>
      <c r="M134" s="120"/>
      <c r="N134" s="120"/>
    </row>
    <row r="135" spans="1:14">
      <c r="I135" s="120"/>
      <c r="J135" s="120"/>
      <c r="K135" s="120"/>
      <c r="L135" s="120"/>
      <c r="M135" s="120"/>
      <c r="N135" s="120"/>
    </row>
    <row r="136" spans="1:14">
      <c r="I136" s="120"/>
      <c r="J136" s="120"/>
      <c r="K136" s="120"/>
      <c r="L136" s="120"/>
      <c r="M136" s="120"/>
      <c r="N136" s="120"/>
    </row>
    <row r="137" spans="1:14" ht="15.75">
      <c r="A137" s="119" t="s">
        <v>608</v>
      </c>
      <c r="I137" s="120"/>
      <c r="J137" s="120"/>
      <c r="K137" s="120"/>
      <c r="L137" s="120"/>
      <c r="M137" s="120"/>
      <c r="N137" s="120"/>
    </row>
    <row r="138" spans="1:14">
      <c r="I138" s="120"/>
      <c r="J138" s="120"/>
      <c r="K138" s="120"/>
      <c r="L138" s="120"/>
      <c r="M138" s="120"/>
      <c r="N138" s="120"/>
    </row>
    <row r="139" spans="1:14">
      <c r="I139" s="120"/>
      <c r="J139" s="120"/>
      <c r="K139" s="120"/>
      <c r="L139" s="120"/>
      <c r="M139" s="120"/>
      <c r="N139" s="120"/>
    </row>
    <row r="140" spans="1:14" ht="15.75">
      <c r="A140" s="119" t="s">
        <v>609</v>
      </c>
      <c r="I140" s="120"/>
      <c r="J140" s="120"/>
      <c r="K140" s="120"/>
      <c r="L140" s="120"/>
      <c r="M140" s="120"/>
      <c r="N140" s="120"/>
    </row>
    <row r="141" spans="1:14">
      <c r="I141" s="120"/>
      <c r="J141" s="120"/>
      <c r="K141" s="120"/>
      <c r="L141" s="120"/>
      <c r="M141" s="120"/>
      <c r="N141" s="120"/>
    </row>
    <row r="142" spans="1:14">
      <c r="I142" s="120"/>
      <c r="J142" s="120"/>
      <c r="K142" s="120"/>
      <c r="L142" s="120"/>
      <c r="M142" s="120"/>
      <c r="N142" s="120"/>
    </row>
    <row r="143" spans="1:14">
      <c r="I143" s="120"/>
      <c r="J143" s="120"/>
      <c r="K143" s="120"/>
      <c r="L143" s="120"/>
      <c r="M143" s="120"/>
      <c r="N143" s="120"/>
    </row>
  </sheetData>
  <mergeCells count="3">
    <mergeCell ref="A1:K1"/>
    <mergeCell ref="A3:E3"/>
    <mergeCell ref="G3:K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3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zoomScaleNormal="100" zoomScaleSheetLayoutView="70" workbookViewId="0">
      <selection sqref="A1:K1"/>
    </sheetView>
  </sheetViews>
  <sheetFormatPr baseColWidth="10" defaultColWidth="9.6640625" defaultRowHeight="15"/>
  <cols>
    <col min="1" max="1" width="42.77734375" style="120" customWidth="1"/>
    <col min="2" max="2" width="14.21875" style="120" customWidth="1"/>
    <col min="3" max="5" width="17.33203125" style="128" customWidth="1"/>
    <col min="6" max="6" width="3" style="120" customWidth="1"/>
    <col min="7" max="7" width="33.77734375" style="120" customWidth="1"/>
    <col min="8" max="8" width="10.6640625" style="120" customWidth="1"/>
    <col min="9" max="11" width="17.88671875" style="128" customWidth="1"/>
    <col min="12" max="12" width="13.109375" style="128" customWidth="1"/>
    <col min="13" max="13" width="15.109375" style="128" customWidth="1"/>
    <col min="14" max="14" width="14.5546875" style="128" customWidth="1"/>
    <col min="15" max="16384" width="9.6640625" style="120"/>
  </cols>
  <sheetData>
    <row r="1" spans="1:14" s="119" customFormat="1" ht="63" customHeight="1">
      <c r="A1" s="845" t="s">
        <v>606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120"/>
      <c r="M1" s="120"/>
      <c r="N1" s="120"/>
    </row>
    <row r="2" spans="1:14">
      <c r="A2" s="137"/>
      <c r="B2" s="137"/>
      <c r="C2" s="137"/>
      <c r="D2" s="137"/>
      <c r="E2" s="137"/>
      <c r="G2" s="137"/>
      <c r="H2" s="137"/>
      <c r="I2" s="137"/>
      <c r="J2" s="137"/>
      <c r="K2" s="137"/>
      <c r="L2" s="120"/>
      <c r="M2" s="120"/>
      <c r="N2" s="120"/>
    </row>
    <row r="3" spans="1:14" s="119" customFormat="1" ht="27.75">
      <c r="A3" s="846" t="s">
        <v>584</v>
      </c>
      <c r="B3" s="846"/>
      <c r="C3" s="846"/>
      <c r="D3" s="846"/>
      <c r="E3" s="846"/>
      <c r="G3" s="846" t="str">
        <f>CONCATENATE("ACTUALIZADO AL ",TEXT(Historico!O5,"DD/MMMM/YYYY"))</f>
        <v>ACTUALIZADO AL 04/diciembre/2012</v>
      </c>
      <c r="H3" s="846"/>
      <c r="I3" s="846"/>
      <c r="J3" s="846"/>
      <c r="K3" s="846"/>
    </row>
    <row r="4" spans="1:14" ht="15.75" thickBot="1">
      <c r="A4" s="137"/>
      <c r="B4" s="137"/>
      <c r="C4" s="137"/>
      <c r="D4" s="137"/>
      <c r="E4" s="137"/>
      <c r="G4" s="137"/>
      <c r="H4" s="137"/>
      <c r="I4" s="137"/>
      <c r="J4" s="137"/>
      <c r="K4" s="137"/>
      <c r="L4" s="120"/>
      <c r="M4" s="120"/>
      <c r="N4" s="120"/>
    </row>
    <row r="5" spans="1:14" s="119" customFormat="1" ht="15.75">
      <c r="B5" s="121" t="s">
        <v>492</v>
      </c>
      <c r="C5" s="139" t="s">
        <v>493</v>
      </c>
      <c r="D5" s="139" t="s">
        <v>494</v>
      </c>
      <c r="E5" s="139" t="s">
        <v>495</v>
      </c>
      <c r="H5" s="121" t="s">
        <v>492</v>
      </c>
      <c r="I5" s="148" t="s">
        <v>572</v>
      </c>
      <c r="J5" s="139" t="s">
        <v>573</v>
      </c>
      <c r="K5" s="139" t="s">
        <v>574</v>
      </c>
    </row>
    <row r="6" spans="1:14" s="119" customFormat="1" ht="16.5" thickBot="1">
      <c r="B6" s="122" t="s">
        <v>496</v>
      </c>
      <c r="C6" s="123" t="s">
        <v>497</v>
      </c>
      <c r="D6" s="123" t="s">
        <v>498</v>
      </c>
      <c r="E6" s="123" t="s">
        <v>498</v>
      </c>
      <c r="H6" s="122" t="s">
        <v>496</v>
      </c>
      <c r="I6" s="149" t="s">
        <v>497</v>
      </c>
      <c r="J6" s="123" t="s">
        <v>498</v>
      </c>
      <c r="K6" s="123" t="s">
        <v>498</v>
      </c>
    </row>
    <row r="7" spans="1:14" s="119" customFormat="1" ht="16.5" thickBot="1">
      <c r="A7" s="153" t="s">
        <v>585</v>
      </c>
      <c r="B7" s="124"/>
      <c r="C7" s="125"/>
      <c r="D7" s="125"/>
      <c r="E7" s="125"/>
      <c r="F7" s="140"/>
      <c r="G7" s="153" t="s">
        <v>585</v>
      </c>
      <c r="H7" s="124"/>
      <c r="I7" s="125"/>
      <c r="J7" s="125"/>
      <c r="K7" s="125"/>
    </row>
    <row r="8" spans="1:14" ht="15" customHeight="1">
      <c r="A8" s="126" t="s">
        <v>499</v>
      </c>
      <c r="B8" s="127">
        <v>220</v>
      </c>
      <c r="C8" s="364">
        <v>16.579999999999998</v>
      </c>
      <c r="D8" s="364">
        <v>14.31</v>
      </c>
      <c r="E8" s="364">
        <v>12.18</v>
      </c>
      <c r="F8" s="138"/>
      <c r="G8" s="126" t="s">
        <v>499</v>
      </c>
      <c r="H8" s="127">
        <v>220</v>
      </c>
      <c r="I8" s="150">
        <f>C8*Factores!F23+PCSPT!E35</f>
        <v>26.624927999999997</v>
      </c>
      <c r="J8" s="129">
        <f>D8*Factores!F23</f>
        <v>14.046696000000001</v>
      </c>
      <c r="K8" s="129">
        <f>E8*Factores!F23</f>
        <v>11.955888</v>
      </c>
      <c r="L8" s="120"/>
      <c r="M8" s="120"/>
      <c r="N8" s="120"/>
    </row>
    <row r="9" spans="1:14" ht="15" customHeight="1">
      <c r="A9" s="130" t="s">
        <v>500</v>
      </c>
      <c r="B9" s="131">
        <v>220</v>
      </c>
      <c r="C9" s="365">
        <v>16.579999999999998</v>
      </c>
      <c r="D9" s="365">
        <v>14.25</v>
      </c>
      <c r="E9" s="365">
        <v>12.15</v>
      </c>
      <c r="F9" s="138"/>
      <c r="G9" s="130" t="s">
        <v>500</v>
      </c>
      <c r="H9" s="131">
        <v>220</v>
      </c>
      <c r="I9" s="151">
        <f>C9*Factores!F23+PCSPT!E35</f>
        <v>26.624927999999997</v>
      </c>
      <c r="J9" s="132">
        <f>D9*Factores!F23</f>
        <v>13.9878</v>
      </c>
      <c r="K9" s="132">
        <f>E9*Factores!F23</f>
        <v>11.926440000000001</v>
      </c>
      <c r="L9" s="120"/>
      <c r="M9" s="120"/>
      <c r="N9" s="120"/>
    </row>
    <row r="10" spans="1:14" ht="15" customHeight="1">
      <c r="A10" s="130" t="s">
        <v>501</v>
      </c>
      <c r="B10" s="131">
        <v>220</v>
      </c>
      <c r="C10" s="365">
        <v>16.579999999999998</v>
      </c>
      <c r="D10" s="365">
        <v>14.92</v>
      </c>
      <c r="E10" s="365">
        <v>12.56</v>
      </c>
      <c r="F10" s="138"/>
      <c r="G10" s="130" t="s">
        <v>501</v>
      </c>
      <c r="H10" s="131">
        <v>220</v>
      </c>
      <c r="I10" s="151">
        <f>C10*Factores!F23+PCSPT!E35</f>
        <v>26.624927999999997</v>
      </c>
      <c r="J10" s="132">
        <f>D10*Factores!F23</f>
        <v>14.645472</v>
      </c>
      <c r="K10" s="132">
        <f>E10*Factores!F23</f>
        <v>12.328896</v>
      </c>
      <c r="L10" s="120"/>
      <c r="M10" s="120"/>
      <c r="N10" s="120"/>
    </row>
    <row r="11" spans="1:14" ht="15" customHeight="1">
      <c r="A11" s="130" t="s">
        <v>502</v>
      </c>
      <c r="B11" s="131">
        <v>220</v>
      </c>
      <c r="C11" s="365">
        <v>16.579999999999998</v>
      </c>
      <c r="D11" s="365">
        <v>14.72</v>
      </c>
      <c r="E11" s="365">
        <v>12.4</v>
      </c>
      <c r="F11" s="138"/>
      <c r="G11" s="130" t="s">
        <v>502</v>
      </c>
      <c r="H11" s="131">
        <v>220</v>
      </c>
      <c r="I11" s="151">
        <f>C11*Factores!F23+PCSPT!E35</f>
        <v>26.624927999999997</v>
      </c>
      <c r="J11" s="132">
        <f>D11*Factores!F23</f>
        <v>14.449152000000002</v>
      </c>
      <c r="K11" s="132">
        <f>E11*Factores!F23</f>
        <v>12.171840000000001</v>
      </c>
      <c r="L11" s="120"/>
      <c r="M11" s="120"/>
      <c r="N11" s="120"/>
    </row>
    <row r="12" spans="1:14" ht="15" customHeight="1">
      <c r="A12" s="130" t="s">
        <v>503</v>
      </c>
      <c r="B12" s="131">
        <v>220</v>
      </c>
      <c r="C12" s="365">
        <v>16.579999999999998</v>
      </c>
      <c r="D12" s="365">
        <v>14.48</v>
      </c>
      <c r="E12" s="365">
        <v>12.24</v>
      </c>
      <c r="F12" s="138"/>
      <c r="G12" s="130" t="s">
        <v>503</v>
      </c>
      <c r="H12" s="131">
        <v>220</v>
      </c>
      <c r="I12" s="151">
        <f>C12*Factores!F23+PCSPT!E35</f>
        <v>26.624927999999997</v>
      </c>
      <c r="J12" s="132">
        <f>D12*Factores!F23</f>
        <v>14.213568</v>
      </c>
      <c r="K12" s="132">
        <f>E12*Factores!F23</f>
        <v>12.014784000000001</v>
      </c>
      <c r="L12" s="120"/>
      <c r="M12" s="120"/>
      <c r="N12" s="120"/>
    </row>
    <row r="13" spans="1:14" ht="15" customHeight="1">
      <c r="A13" s="130" t="s">
        <v>503</v>
      </c>
      <c r="B13" s="131">
        <v>138</v>
      </c>
      <c r="C13" s="365">
        <v>16.579999999999998</v>
      </c>
      <c r="D13" s="365">
        <v>14.48</v>
      </c>
      <c r="E13" s="365">
        <v>12.24</v>
      </c>
      <c r="F13" s="138"/>
      <c r="G13" s="130" t="s">
        <v>503</v>
      </c>
      <c r="H13" s="131">
        <v>138</v>
      </c>
      <c r="I13" s="151">
        <f>C13*Factores!F23+PCSPT!E35</f>
        <v>26.624927999999997</v>
      </c>
      <c r="J13" s="132">
        <f>D13*Factores!F23</f>
        <v>14.213568</v>
      </c>
      <c r="K13" s="132">
        <f>E13*Factores!F23</f>
        <v>12.014784000000001</v>
      </c>
      <c r="L13" s="120"/>
      <c r="M13" s="120"/>
      <c r="N13" s="120"/>
    </row>
    <row r="14" spans="1:14" ht="15" customHeight="1">
      <c r="A14" s="130" t="s">
        <v>504</v>
      </c>
      <c r="B14" s="131">
        <v>138</v>
      </c>
      <c r="C14" s="365">
        <v>16.579999999999998</v>
      </c>
      <c r="D14" s="365">
        <v>14.48</v>
      </c>
      <c r="E14" s="365">
        <v>12.25</v>
      </c>
      <c r="F14" s="138"/>
      <c r="G14" s="130" t="s">
        <v>504</v>
      </c>
      <c r="H14" s="131">
        <v>138</v>
      </c>
      <c r="I14" s="151">
        <f>C14*Factores!F23+PCSPT!E35</f>
        <v>26.624927999999997</v>
      </c>
      <c r="J14" s="132">
        <f>D14*Factores!F23</f>
        <v>14.213568</v>
      </c>
      <c r="K14" s="132">
        <f>E14*Factores!F23</f>
        <v>12.0246</v>
      </c>
      <c r="L14" s="120"/>
      <c r="M14" s="120"/>
      <c r="N14" s="120"/>
    </row>
    <row r="15" spans="1:14" ht="15" customHeight="1">
      <c r="A15" s="130" t="s">
        <v>505</v>
      </c>
      <c r="B15" s="131">
        <v>138</v>
      </c>
      <c r="C15" s="365">
        <v>16.579999999999998</v>
      </c>
      <c r="D15" s="365">
        <v>14.48</v>
      </c>
      <c r="E15" s="365">
        <v>12.25</v>
      </c>
      <c r="F15" s="138"/>
      <c r="G15" s="130" t="s">
        <v>505</v>
      </c>
      <c r="H15" s="131">
        <v>138</v>
      </c>
      <c r="I15" s="151">
        <f>C15*Factores!F23+PCSPT!E35</f>
        <v>26.624927999999997</v>
      </c>
      <c r="J15" s="132">
        <f>D15*Factores!F23</f>
        <v>14.213568</v>
      </c>
      <c r="K15" s="132">
        <f>E15*Factores!F23</f>
        <v>12.0246</v>
      </c>
      <c r="L15" s="120"/>
      <c r="M15" s="120"/>
      <c r="N15" s="120"/>
    </row>
    <row r="16" spans="1:14" ht="15" customHeight="1">
      <c r="A16" s="130" t="s">
        <v>506</v>
      </c>
      <c r="B16" s="131">
        <v>220</v>
      </c>
      <c r="C16" s="365">
        <v>16.579999999999998</v>
      </c>
      <c r="D16" s="365">
        <v>14.55</v>
      </c>
      <c r="E16" s="365">
        <v>12.25</v>
      </c>
      <c r="F16" s="138"/>
      <c r="G16" s="130" t="s">
        <v>506</v>
      </c>
      <c r="H16" s="131">
        <v>220</v>
      </c>
      <c r="I16" s="151">
        <f>C16*Factores!F23+PCSPT!E35</f>
        <v>26.624927999999997</v>
      </c>
      <c r="J16" s="132">
        <f>D16*Factores!F23</f>
        <v>14.282280000000002</v>
      </c>
      <c r="K16" s="132">
        <f>E16*Factores!F23</f>
        <v>12.0246</v>
      </c>
      <c r="L16" s="120"/>
      <c r="M16" s="120"/>
      <c r="N16" s="120"/>
    </row>
    <row r="17" spans="1:14" ht="15" customHeight="1">
      <c r="A17" s="130" t="s">
        <v>506</v>
      </c>
      <c r="B17" s="131">
        <v>60</v>
      </c>
      <c r="C17" s="365">
        <v>16.579999999999998</v>
      </c>
      <c r="D17" s="365">
        <v>14.6</v>
      </c>
      <c r="E17" s="365">
        <v>12.290000000000001</v>
      </c>
      <c r="F17" s="138"/>
      <c r="G17" s="130" t="s">
        <v>506</v>
      </c>
      <c r="H17" s="131">
        <v>60</v>
      </c>
      <c r="I17" s="151">
        <f>C17*Factores!F23+PCSPT!E35</f>
        <v>26.624927999999997</v>
      </c>
      <c r="J17" s="132">
        <f>D17*Factores!F23</f>
        <v>14.33136</v>
      </c>
      <c r="K17" s="132">
        <f>E17*Factores!F23</f>
        <v>12.063864000000001</v>
      </c>
      <c r="L17" s="120"/>
      <c r="M17" s="120"/>
      <c r="N17" s="120"/>
    </row>
    <row r="18" spans="1:14" ht="15" customHeight="1">
      <c r="A18" s="130" t="s">
        <v>507</v>
      </c>
      <c r="B18" s="131">
        <v>220</v>
      </c>
      <c r="C18" s="365">
        <v>16.579999999999998</v>
      </c>
      <c r="D18" s="365">
        <v>14.14</v>
      </c>
      <c r="E18" s="365">
        <v>11.97</v>
      </c>
      <c r="F18" s="138"/>
      <c r="G18" s="130" t="s">
        <v>507</v>
      </c>
      <c r="H18" s="131">
        <v>220</v>
      </c>
      <c r="I18" s="151">
        <f>C18*Factores!F23+PCSPT!E35</f>
        <v>26.624927999999997</v>
      </c>
      <c r="J18" s="132">
        <f>D18*Factores!F23</f>
        <v>13.879824000000001</v>
      </c>
      <c r="K18" s="132">
        <f>E18*Factores!F23</f>
        <v>11.749752000000001</v>
      </c>
      <c r="L18" s="120"/>
      <c r="M18" s="120"/>
      <c r="N18" s="120"/>
    </row>
    <row r="19" spans="1:14" ht="15" customHeight="1">
      <c r="A19" s="130" t="s">
        <v>508</v>
      </c>
      <c r="B19" s="131">
        <v>220</v>
      </c>
      <c r="C19" s="365">
        <v>16.579999999999998</v>
      </c>
      <c r="D19" s="365">
        <v>14.24</v>
      </c>
      <c r="E19" s="365">
        <v>12</v>
      </c>
      <c r="F19" s="138"/>
      <c r="G19" s="130" t="s">
        <v>508</v>
      </c>
      <c r="H19" s="131">
        <v>220</v>
      </c>
      <c r="I19" s="151">
        <f>C19*Factores!F23+PCSPT!E35</f>
        <v>26.624927999999997</v>
      </c>
      <c r="J19" s="132">
        <f>D19*Factores!F23</f>
        <v>13.977984000000001</v>
      </c>
      <c r="K19" s="132">
        <f>E19*Factores!F23</f>
        <v>11.779199999999999</v>
      </c>
      <c r="L19" s="120"/>
      <c r="M19" s="120"/>
      <c r="N19" s="120"/>
    </row>
    <row r="20" spans="1:14" ht="15" customHeight="1">
      <c r="A20" s="130" t="s">
        <v>509</v>
      </c>
      <c r="B20" s="131">
        <v>220</v>
      </c>
      <c r="C20" s="365">
        <v>16.579999999999998</v>
      </c>
      <c r="D20" s="365">
        <v>14.05</v>
      </c>
      <c r="E20" s="365">
        <v>11.870000000000001</v>
      </c>
      <c r="F20" s="138"/>
      <c r="G20" s="130" t="s">
        <v>509</v>
      </c>
      <c r="H20" s="131">
        <v>220</v>
      </c>
      <c r="I20" s="151">
        <f>C20*Factores!F23+PCSPT!E35</f>
        <v>26.624927999999997</v>
      </c>
      <c r="J20" s="132">
        <f>D20*Factores!F23</f>
        <v>13.791480000000002</v>
      </c>
      <c r="K20" s="132">
        <f>E20*Factores!F23</f>
        <v>11.651592000000001</v>
      </c>
      <c r="L20" s="120"/>
      <c r="M20" s="120"/>
      <c r="N20" s="120"/>
    </row>
    <row r="21" spans="1:14" ht="15" customHeight="1">
      <c r="A21" s="130" t="s">
        <v>509</v>
      </c>
      <c r="B21" s="131">
        <v>138</v>
      </c>
      <c r="C21" s="365">
        <v>16.579999999999998</v>
      </c>
      <c r="D21" s="365">
        <v>14.120000000000001</v>
      </c>
      <c r="E21" s="365">
        <v>11.89</v>
      </c>
      <c r="F21" s="138"/>
      <c r="G21" s="130" t="s">
        <v>509</v>
      </c>
      <c r="H21" s="131">
        <v>138</v>
      </c>
      <c r="I21" s="151">
        <f>C21*Factores!F23+PCSPT!E35</f>
        <v>26.624927999999997</v>
      </c>
      <c r="J21" s="132">
        <f>D21*Factores!F23</f>
        <v>13.860192000000001</v>
      </c>
      <c r="K21" s="132">
        <f>E21*Factores!F23</f>
        <v>11.671224</v>
      </c>
      <c r="L21" s="120"/>
      <c r="M21" s="120"/>
      <c r="N21" s="120"/>
    </row>
    <row r="22" spans="1:14" ht="15" customHeight="1">
      <c r="A22" s="130" t="s">
        <v>510</v>
      </c>
      <c r="B22" s="131">
        <v>220</v>
      </c>
      <c r="C22" s="365">
        <v>16.579999999999998</v>
      </c>
      <c r="D22" s="365">
        <v>13.68</v>
      </c>
      <c r="E22" s="365">
        <v>11.55</v>
      </c>
      <c r="F22" s="138"/>
      <c r="G22" s="130" t="s">
        <v>510</v>
      </c>
      <c r="H22" s="131">
        <v>220</v>
      </c>
      <c r="I22" s="151">
        <f>C22*Factores!F23+PCSPT!E35</f>
        <v>26.624927999999997</v>
      </c>
      <c r="J22" s="132">
        <f>D22*Factores!F23</f>
        <v>13.428288</v>
      </c>
      <c r="K22" s="132">
        <f>E22*Factores!F23</f>
        <v>11.337480000000001</v>
      </c>
      <c r="L22" s="120"/>
      <c r="M22" s="120"/>
      <c r="N22" s="120"/>
    </row>
    <row r="23" spans="1:14" ht="15" customHeight="1">
      <c r="A23" s="130" t="s">
        <v>510</v>
      </c>
      <c r="B23" s="131">
        <v>138</v>
      </c>
      <c r="C23" s="365">
        <v>16.579999999999998</v>
      </c>
      <c r="D23" s="365">
        <v>13.65</v>
      </c>
      <c r="E23" s="365">
        <v>11.540000000000001</v>
      </c>
      <c r="F23" s="138"/>
      <c r="G23" s="130" t="s">
        <v>510</v>
      </c>
      <c r="H23" s="131">
        <v>138</v>
      </c>
      <c r="I23" s="151">
        <f>C23*Factores!F23+PCSPT!E35</f>
        <v>26.624927999999997</v>
      </c>
      <c r="J23" s="132">
        <f>D23*Factores!F23</f>
        <v>13.39884</v>
      </c>
      <c r="K23" s="132">
        <f>E23*Factores!F23</f>
        <v>11.327664</v>
      </c>
      <c r="L23" s="120"/>
      <c r="M23" s="120"/>
      <c r="N23" s="120"/>
    </row>
    <row r="24" spans="1:14" ht="15" customHeight="1">
      <c r="A24" s="130" t="s">
        <v>511</v>
      </c>
      <c r="B24" s="131">
        <v>138</v>
      </c>
      <c r="C24" s="365">
        <v>16.579999999999998</v>
      </c>
      <c r="D24" s="365">
        <v>13.620000000000001</v>
      </c>
      <c r="E24" s="365">
        <v>11.530000000000001</v>
      </c>
      <c r="F24" s="138"/>
      <c r="G24" s="130" t="s">
        <v>511</v>
      </c>
      <c r="H24" s="131">
        <v>138</v>
      </c>
      <c r="I24" s="151">
        <f>C24*Factores!F23+PCSPT!E35</f>
        <v>26.624927999999997</v>
      </c>
      <c r="J24" s="132">
        <f>D24*Factores!F23</f>
        <v>13.369392000000001</v>
      </c>
      <c r="K24" s="132">
        <f>E24*Factores!F23</f>
        <v>11.317848000000001</v>
      </c>
      <c r="L24" s="120"/>
      <c r="M24" s="120"/>
      <c r="N24" s="120"/>
    </row>
    <row r="25" spans="1:14" ht="15" customHeight="1">
      <c r="A25" s="130" t="s">
        <v>512</v>
      </c>
      <c r="B25" s="131">
        <v>220</v>
      </c>
      <c r="C25" s="365">
        <v>16.579999999999998</v>
      </c>
      <c r="D25" s="365">
        <v>13.620000000000001</v>
      </c>
      <c r="E25" s="365">
        <v>11.48</v>
      </c>
      <c r="F25" s="138"/>
      <c r="G25" s="130" t="s">
        <v>512</v>
      </c>
      <c r="H25" s="131">
        <v>220</v>
      </c>
      <c r="I25" s="151">
        <f>C25*Factores!F23+PCSPT!E35</f>
        <v>26.624927999999997</v>
      </c>
      <c r="J25" s="132">
        <f>D25*Factores!F23</f>
        <v>13.369392000000001</v>
      </c>
      <c r="K25" s="132">
        <f>E25*Factores!F23</f>
        <v>11.268768000000001</v>
      </c>
      <c r="L25" s="120"/>
      <c r="M25" s="120"/>
      <c r="N25" s="120"/>
    </row>
    <row r="26" spans="1:14" ht="15" customHeight="1">
      <c r="A26" s="130" t="s">
        <v>513</v>
      </c>
      <c r="B26" s="131">
        <v>220</v>
      </c>
      <c r="C26" s="365">
        <v>16.579999999999998</v>
      </c>
      <c r="D26" s="365">
        <v>13.450000000000001</v>
      </c>
      <c r="E26" s="365">
        <v>11.32</v>
      </c>
      <c r="F26" s="138"/>
      <c r="G26" s="130" t="s">
        <v>513</v>
      </c>
      <c r="H26" s="131">
        <v>220</v>
      </c>
      <c r="I26" s="151">
        <f>C26*Factores!F23+PCSPT!E35</f>
        <v>26.624927999999997</v>
      </c>
      <c r="J26" s="132">
        <f>D26*Factores!F23</f>
        <v>13.202520000000002</v>
      </c>
      <c r="K26" s="132">
        <f>E26*Factores!F23</f>
        <v>11.111712000000001</v>
      </c>
      <c r="L26" s="120"/>
      <c r="M26" s="120"/>
      <c r="N26" s="120"/>
    </row>
    <row r="27" spans="1:14" ht="15" customHeight="1">
      <c r="A27" s="130" t="s">
        <v>514</v>
      </c>
      <c r="B27" s="131">
        <v>220</v>
      </c>
      <c r="C27" s="365">
        <v>16.579999999999998</v>
      </c>
      <c r="D27" s="365">
        <v>13.440000000000001</v>
      </c>
      <c r="E27" s="365">
        <v>11.31</v>
      </c>
      <c r="F27" s="138"/>
      <c r="G27" s="130" t="s">
        <v>514</v>
      </c>
      <c r="H27" s="131">
        <v>220</v>
      </c>
      <c r="I27" s="151">
        <f>C27*Factores!F23+PCSPT!E35</f>
        <v>26.624927999999997</v>
      </c>
      <c r="J27" s="132">
        <f>D27*Factores!F23</f>
        <v>13.192704000000001</v>
      </c>
      <c r="K27" s="132">
        <f>E27*Factores!F23</f>
        <v>11.101896</v>
      </c>
      <c r="L27" s="120"/>
      <c r="M27" s="120"/>
      <c r="N27" s="120"/>
    </row>
    <row r="28" spans="1:14" ht="15" customHeight="1">
      <c r="A28" s="130" t="s">
        <v>515</v>
      </c>
      <c r="B28" s="131">
        <v>220</v>
      </c>
      <c r="C28" s="365">
        <v>16.579999999999998</v>
      </c>
      <c r="D28" s="365">
        <v>13.43</v>
      </c>
      <c r="E28" s="365">
        <v>11.3</v>
      </c>
      <c r="F28" s="138"/>
      <c r="G28" s="130" t="s">
        <v>515</v>
      </c>
      <c r="H28" s="131">
        <v>220</v>
      </c>
      <c r="I28" s="151">
        <f>C28*Factores!F23+PCSPT!E35</f>
        <v>26.624927999999997</v>
      </c>
      <c r="J28" s="132">
        <f>D28*Factores!F23</f>
        <v>13.182888</v>
      </c>
      <c r="K28" s="132">
        <f>E28*Factores!F23</f>
        <v>11.092080000000001</v>
      </c>
      <c r="L28" s="120"/>
      <c r="M28" s="120"/>
      <c r="N28" s="120"/>
    </row>
    <row r="29" spans="1:14" ht="15" customHeight="1">
      <c r="A29" s="130" t="s">
        <v>516</v>
      </c>
      <c r="B29" s="131">
        <v>220</v>
      </c>
      <c r="C29" s="365">
        <v>16.579999999999998</v>
      </c>
      <c r="D29" s="365">
        <v>13.21</v>
      </c>
      <c r="E29" s="365">
        <v>11.16</v>
      </c>
      <c r="F29" s="138"/>
      <c r="G29" s="130" t="s">
        <v>516</v>
      </c>
      <c r="H29" s="131">
        <v>220</v>
      </c>
      <c r="I29" s="151">
        <f>C29*Factores!F23+PCSPT!E35</f>
        <v>26.624927999999997</v>
      </c>
      <c r="J29" s="132">
        <f>D29*Factores!F23</f>
        <v>12.966936</v>
      </c>
      <c r="K29" s="132">
        <f>E29*Factores!F23</f>
        <v>10.954656</v>
      </c>
      <c r="L29" s="120"/>
      <c r="M29" s="120"/>
      <c r="N29" s="120"/>
    </row>
    <row r="30" spans="1:14" ht="15" customHeight="1">
      <c r="A30" s="130" t="s">
        <v>517</v>
      </c>
      <c r="B30" s="131">
        <v>220</v>
      </c>
      <c r="C30" s="365">
        <v>16.579999999999998</v>
      </c>
      <c r="D30" s="365">
        <v>13.08</v>
      </c>
      <c r="E30" s="365">
        <v>11.040000000000001</v>
      </c>
      <c r="F30" s="138"/>
      <c r="G30" s="130" t="s">
        <v>517</v>
      </c>
      <c r="H30" s="131">
        <v>220</v>
      </c>
      <c r="I30" s="151">
        <f>C30*Factores!F23+PCSPT!E35</f>
        <v>26.624927999999997</v>
      </c>
      <c r="J30" s="132">
        <f>D30*Factores!F23</f>
        <v>12.839328</v>
      </c>
      <c r="K30" s="132">
        <f>E30*Factores!F23</f>
        <v>10.836864000000002</v>
      </c>
      <c r="L30" s="120"/>
      <c r="M30" s="120"/>
      <c r="N30" s="120"/>
    </row>
    <row r="31" spans="1:14" ht="15" customHeight="1">
      <c r="A31" s="130" t="s">
        <v>518</v>
      </c>
      <c r="B31" s="131">
        <v>220</v>
      </c>
      <c r="C31" s="365">
        <v>16.579999999999998</v>
      </c>
      <c r="D31" s="365">
        <v>13.31</v>
      </c>
      <c r="E31" s="365">
        <v>11.26</v>
      </c>
      <c r="F31" s="138"/>
      <c r="G31" s="130" t="s">
        <v>518</v>
      </c>
      <c r="H31" s="131">
        <v>220</v>
      </c>
      <c r="I31" s="151">
        <f>C31*Factores!F23+PCSPT!E35</f>
        <v>26.624927999999997</v>
      </c>
      <c r="J31" s="132">
        <f>D31*Factores!F23</f>
        <v>13.065096</v>
      </c>
      <c r="K31" s="132">
        <f>E31*Factores!F23</f>
        <v>11.052816</v>
      </c>
      <c r="L31" s="120"/>
      <c r="M31" s="120"/>
      <c r="N31" s="120"/>
    </row>
    <row r="32" spans="1:14" ht="15" customHeight="1">
      <c r="A32" s="130" t="s">
        <v>519</v>
      </c>
      <c r="B32" s="131">
        <v>220</v>
      </c>
      <c r="C32" s="365">
        <v>16.579999999999998</v>
      </c>
      <c r="D32" s="365">
        <v>13.38</v>
      </c>
      <c r="E32" s="365">
        <v>11.32</v>
      </c>
      <c r="F32" s="138"/>
      <c r="G32" s="130" t="s">
        <v>519</v>
      </c>
      <c r="H32" s="131">
        <v>220</v>
      </c>
      <c r="I32" s="151">
        <f>C32*Factores!F23+PCSPT!E35</f>
        <v>26.624927999999997</v>
      </c>
      <c r="J32" s="132">
        <f>D32*Factores!F23</f>
        <v>13.133808000000002</v>
      </c>
      <c r="K32" s="132">
        <f>E32*Factores!F23</f>
        <v>11.111712000000001</v>
      </c>
      <c r="L32" s="120"/>
      <c r="M32" s="120"/>
      <c r="N32" s="120"/>
    </row>
    <row r="33" spans="1:14" ht="15" customHeight="1">
      <c r="A33" s="130" t="s">
        <v>520</v>
      </c>
      <c r="B33" s="131">
        <v>220</v>
      </c>
      <c r="C33" s="365">
        <v>16.579999999999998</v>
      </c>
      <c r="D33" s="365">
        <v>13.59</v>
      </c>
      <c r="E33" s="365">
        <v>11.47</v>
      </c>
      <c r="F33" s="138"/>
      <c r="G33" s="130" t="s">
        <v>520</v>
      </c>
      <c r="H33" s="131">
        <v>220</v>
      </c>
      <c r="I33" s="151">
        <f>C33*Factores!F23+PCSPT!E35</f>
        <v>26.624927999999997</v>
      </c>
      <c r="J33" s="132">
        <f>D33*Factores!F23</f>
        <v>13.339944000000001</v>
      </c>
      <c r="K33" s="132">
        <f>E33*Factores!F23</f>
        <v>11.258952000000001</v>
      </c>
      <c r="L33" s="120"/>
      <c r="M33" s="120"/>
      <c r="N33" s="120"/>
    </row>
    <row r="34" spans="1:14" ht="15" customHeight="1">
      <c r="A34" s="130" t="s">
        <v>521</v>
      </c>
      <c r="B34" s="131">
        <v>220</v>
      </c>
      <c r="C34" s="365">
        <v>16.579999999999998</v>
      </c>
      <c r="D34" s="365">
        <v>13.14</v>
      </c>
      <c r="E34" s="365">
        <v>11.07</v>
      </c>
      <c r="F34" s="138"/>
      <c r="G34" s="130" t="s">
        <v>521</v>
      </c>
      <c r="H34" s="131">
        <v>220</v>
      </c>
      <c r="I34" s="151">
        <f>C34*Factores!F23+PCSPT!E35</f>
        <v>26.624927999999997</v>
      </c>
      <c r="J34" s="132">
        <f>D34*Factores!F23</f>
        <v>12.898224000000001</v>
      </c>
      <c r="K34" s="132">
        <f>E34*Factores!F23</f>
        <v>10.866312000000001</v>
      </c>
      <c r="L34" s="120"/>
      <c r="M34" s="120"/>
      <c r="N34" s="120"/>
    </row>
    <row r="35" spans="1:14" ht="15" customHeight="1">
      <c r="A35" s="130" t="s">
        <v>522</v>
      </c>
      <c r="B35" s="131">
        <v>220</v>
      </c>
      <c r="C35" s="365">
        <v>16.579999999999998</v>
      </c>
      <c r="D35" s="365">
        <v>13.24</v>
      </c>
      <c r="E35" s="365">
        <v>11.15</v>
      </c>
      <c r="F35" s="138"/>
      <c r="G35" s="130" t="s">
        <v>522</v>
      </c>
      <c r="H35" s="131">
        <v>220</v>
      </c>
      <c r="I35" s="151">
        <f>C35*Factores!F23+PCSPT!E35</f>
        <v>26.624927999999997</v>
      </c>
      <c r="J35" s="132">
        <f>D35*Factores!F23</f>
        <v>12.996384000000001</v>
      </c>
      <c r="K35" s="132">
        <f>E35*Factores!F23</f>
        <v>10.944840000000001</v>
      </c>
      <c r="L35" s="120"/>
      <c r="M35" s="120"/>
      <c r="N35" s="120"/>
    </row>
    <row r="36" spans="1:14" ht="15" customHeight="1">
      <c r="A36" s="130" t="s">
        <v>523</v>
      </c>
      <c r="B36" s="131">
        <v>220</v>
      </c>
      <c r="C36" s="365">
        <v>16.579999999999998</v>
      </c>
      <c r="D36" s="365">
        <v>13.27</v>
      </c>
      <c r="E36" s="365">
        <v>11.190000000000001</v>
      </c>
      <c r="F36" s="138"/>
      <c r="G36" s="130" t="s">
        <v>523</v>
      </c>
      <c r="H36" s="131">
        <v>220</v>
      </c>
      <c r="I36" s="151">
        <f>C36*Factores!F23+PCSPT!E35</f>
        <v>26.624927999999997</v>
      </c>
      <c r="J36" s="132">
        <f>D36*Factores!F23</f>
        <v>13.025831999999999</v>
      </c>
      <c r="K36" s="132">
        <f>E36*Factores!F23</f>
        <v>10.984104000000002</v>
      </c>
      <c r="L36" s="120"/>
      <c r="M36" s="120"/>
      <c r="N36" s="120"/>
    </row>
    <row r="37" spans="1:14" ht="15" customHeight="1">
      <c r="A37" s="130" t="s">
        <v>524</v>
      </c>
      <c r="B37" s="131">
        <v>220</v>
      </c>
      <c r="C37" s="365">
        <v>16.579999999999998</v>
      </c>
      <c r="D37" s="365">
        <v>13.27</v>
      </c>
      <c r="E37" s="365">
        <v>11.18</v>
      </c>
      <c r="F37" s="138"/>
      <c r="G37" s="130" t="s">
        <v>524</v>
      </c>
      <c r="H37" s="131">
        <v>220</v>
      </c>
      <c r="I37" s="151">
        <f>C37*Factores!F23+PCSPT!E35</f>
        <v>26.624927999999997</v>
      </c>
      <c r="J37" s="132">
        <f>D37*Factores!F23</f>
        <v>13.025831999999999</v>
      </c>
      <c r="K37" s="132">
        <f>E37*Factores!F23</f>
        <v>10.974288</v>
      </c>
      <c r="L37" s="120"/>
      <c r="M37" s="120"/>
      <c r="N37" s="120"/>
    </row>
    <row r="38" spans="1:14" ht="15" customHeight="1">
      <c r="A38" s="130" t="s">
        <v>525</v>
      </c>
      <c r="B38" s="131">
        <v>220</v>
      </c>
      <c r="C38" s="365">
        <v>16.579999999999998</v>
      </c>
      <c r="D38" s="365">
        <v>13.190000000000001</v>
      </c>
      <c r="E38" s="365">
        <v>11.14</v>
      </c>
      <c r="F38" s="138"/>
      <c r="G38" s="130" t="s">
        <v>525</v>
      </c>
      <c r="H38" s="131">
        <v>220</v>
      </c>
      <c r="I38" s="151">
        <f>C38*Factores!F23+PCSPT!E35</f>
        <v>26.624927999999997</v>
      </c>
      <c r="J38" s="132">
        <f>D38*Factores!F23</f>
        <v>12.947304000000001</v>
      </c>
      <c r="K38" s="132">
        <f>E38*Factores!F23</f>
        <v>10.935024</v>
      </c>
      <c r="L38" s="120"/>
      <c r="M38" s="120"/>
      <c r="N38" s="120"/>
    </row>
    <row r="39" spans="1:14" ht="15" customHeight="1">
      <c r="A39" s="130" t="s">
        <v>526</v>
      </c>
      <c r="B39" s="131">
        <v>220</v>
      </c>
      <c r="C39" s="365">
        <v>16.579999999999998</v>
      </c>
      <c r="D39" s="365">
        <v>13.33</v>
      </c>
      <c r="E39" s="365">
        <v>11.25</v>
      </c>
      <c r="F39" s="138"/>
      <c r="G39" s="130" t="s">
        <v>526</v>
      </c>
      <c r="H39" s="131">
        <v>220</v>
      </c>
      <c r="I39" s="151">
        <f>C39*Factores!F23+PCSPT!E35</f>
        <v>26.624927999999997</v>
      </c>
      <c r="J39" s="132">
        <f>D39*Factores!F23</f>
        <v>13.084728</v>
      </c>
      <c r="K39" s="132">
        <f>E39*Factores!F23</f>
        <v>11.043000000000001</v>
      </c>
      <c r="L39" s="120"/>
      <c r="M39" s="120"/>
      <c r="N39" s="120"/>
    </row>
    <row r="40" spans="1:14" ht="15" customHeight="1">
      <c r="A40" s="130" t="s">
        <v>527</v>
      </c>
      <c r="B40" s="131">
        <v>220</v>
      </c>
      <c r="C40" s="365">
        <v>16.579999999999998</v>
      </c>
      <c r="D40" s="365">
        <v>13.43</v>
      </c>
      <c r="E40" s="365">
        <v>11.34</v>
      </c>
      <c r="F40" s="138"/>
      <c r="G40" s="130" t="s">
        <v>527</v>
      </c>
      <c r="H40" s="131">
        <v>220</v>
      </c>
      <c r="I40" s="151">
        <f>C40*Factores!F23+PCSPT!E35</f>
        <v>26.624927999999997</v>
      </c>
      <c r="J40" s="132">
        <f>D40*Factores!F23</f>
        <v>13.182888</v>
      </c>
      <c r="K40" s="132">
        <f>E40*Factores!F23</f>
        <v>11.131344</v>
      </c>
      <c r="L40" s="120"/>
      <c r="M40" s="120"/>
      <c r="N40" s="120"/>
    </row>
    <row r="41" spans="1:14" ht="15" customHeight="1">
      <c r="A41" s="130" t="s">
        <v>528</v>
      </c>
      <c r="B41" s="131">
        <v>138</v>
      </c>
      <c r="C41" s="365">
        <v>16.579999999999998</v>
      </c>
      <c r="D41" s="365">
        <v>13.82</v>
      </c>
      <c r="E41" s="365">
        <v>11.67</v>
      </c>
      <c r="F41" s="138"/>
      <c r="G41" s="130" t="s">
        <v>528</v>
      </c>
      <c r="H41" s="131">
        <v>138</v>
      </c>
      <c r="I41" s="151">
        <f>C41*Factores!F23+PCSPT!E35</f>
        <v>26.624927999999997</v>
      </c>
      <c r="J41" s="132">
        <f>D41*Factores!F23</f>
        <v>13.565712000000001</v>
      </c>
      <c r="K41" s="132">
        <f>E41*Factores!F23</f>
        <v>11.455272000000001</v>
      </c>
      <c r="L41" s="120"/>
      <c r="M41" s="120"/>
      <c r="N41" s="120"/>
    </row>
    <row r="42" spans="1:14" ht="15" customHeight="1">
      <c r="A42" s="130" t="s">
        <v>529</v>
      </c>
      <c r="B42" s="131">
        <v>220</v>
      </c>
      <c r="C42" s="365">
        <v>16.579999999999998</v>
      </c>
      <c r="D42" s="365">
        <v>13.6</v>
      </c>
      <c r="E42" s="365">
        <v>11.48</v>
      </c>
      <c r="F42" s="138"/>
      <c r="G42" s="130" t="s">
        <v>529</v>
      </c>
      <c r="H42" s="131">
        <v>220</v>
      </c>
      <c r="I42" s="151">
        <f>C42*Factores!F23+PCSPT!E35</f>
        <v>26.624927999999997</v>
      </c>
      <c r="J42" s="132">
        <f>D42*Factores!F23</f>
        <v>13.34976</v>
      </c>
      <c r="K42" s="132">
        <f>E42*Factores!F23</f>
        <v>11.268768000000001</v>
      </c>
      <c r="L42" s="120"/>
      <c r="M42" s="120"/>
      <c r="N42" s="120"/>
    </row>
    <row r="43" spans="1:14" ht="15" customHeight="1">
      <c r="A43" s="130" t="s">
        <v>530</v>
      </c>
      <c r="B43" s="131">
        <v>220</v>
      </c>
      <c r="C43" s="365">
        <v>16.579999999999998</v>
      </c>
      <c r="D43" s="365">
        <v>13.72</v>
      </c>
      <c r="E43" s="365">
        <v>11.58</v>
      </c>
      <c r="F43" s="138"/>
      <c r="G43" s="130" t="s">
        <v>530</v>
      </c>
      <c r="H43" s="131">
        <v>220</v>
      </c>
      <c r="I43" s="151">
        <f>C43*Factores!F23+PCSPT!E35</f>
        <v>26.624927999999997</v>
      </c>
      <c r="J43" s="132">
        <f>D43*Factores!F23</f>
        <v>13.467552000000001</v>
      </c>
      <c r="K43" s="132">
        <f>E43*Factores!F23</f>
        <v>11.366928</v>
      </c>
      <c r="L43" s="120"/>
      <c r="M43" s="120"/>
      <c r="N43" s="120"/>
    </row>
    <row r="44" spans="1:14" ht="15" customHeight="1">
      <c r="A44" s="130" t="s">
        <v>531</v>
      </c>
      <c r="B44" s="131">
        <v>220</v>
      </c>
      <c r="C44" s="365">
        <v>16.579999999999998</v>
      </c>
      <c r="D44" s="365">
        <v>13.59</v>
      </c>
      <c r="E44" s="365">
        <v>11.49</v>
      </c>
      <c r="F44" s="138"/>
      <c r="G44" s="130" t="s">
        <v>531</v>
      </c>
      <c r="H44" s="131">
        <v>220</v>
      </c>
      <c r="I44" s="151">
        <f>C44*Factores!F23+PCSPT!E35</f>
        <v>26.624927999999997</v>
      </c>
      <c r="J44" s="132">
        <f>D44*Factores!F23</f>
        <v>13.339944000000001</v>
      </c>
      <c r="K44" s="132">
        <f>E44*Factores!F23</f>
        <v>11.278584</v>
      </c>
      <c r="L44" s="120"/>
      <c r="M44" s="120"/>
      <c r="N44" s="120"/>
    </row>
    <row r="45" spans="1:14" ht="15" customHeight="1">
      <c r="A45" s="130" t="s">
        <v>531</v>
      </c>
      <c r="B45" s="131">
        <v>138</v>
      </c>
      <c r="C45" s="365">
        <v>16.579999999999998</v>
      </c>
      <c r="D45" s="365">
        <v>13.64</v>
      </c>
      <c r="E45" s="365">
        <v>11.52</v>
      </c>
      <c r="F45" s="138"/>
      <c r="G45" s="130" t="s">
        <v>531</v>
      </c>
      <c r="H45" s="131">
        <v>138</v>
      </c>
      <c r="I45" s="151">
        <f>C45*Factores!F23+PCSPT!E35</f>
        <v>26.624927999999997</v>
      </c>
      <c r="J45" s="132">
        <f>D45*Factores!F23</f>
        <v>13.389024000000001</v>
      </c>
      <c r="K45" s="132">
        <f>E45*Factores!F23</f>
        <v>11.308032000000001</v>
      </c>
      <c r="L45" s="120"/>
      <c r="M45" s="120"/>
      <c r="N45" s="120"/>
    </row>
    <row r="46" spans="1:14" ht="15" customHeight="1">
      <c r="A46" s="130" t="s">
        <v>531</v>
      </c>
      <c r="B46" s="131">
        <v>22.9</v>
      </c>
      <c r="C46" s="365">
        <v>16.579999999999998</v>
      </c>
      <c r="D46" s="365">
        <v>13.620000000000001</v>
      </c>
      <c r="E46" s="365">
        <v>11.51</v>
      </c>
      <c r="F46" s="138"/>
      <c r="G46" s="130" t="s">
        <v>531</v>
      </c>
      <c r="H46" s="131">
        <v>22.9</v>
      </c>
      <c r="I46" s="151">
        <f>C46*Factores!F23+PCSPT!E35</f>
        <v>26.624927999999997</v>
      </c>
      <c r="J46" s="132">
        <f>D46*Factores!F23</f>
        <v>13.369392000000001</v>
      </c>
      <c r="K46" s="132">
        <f>E46*Factores!F23</f>
        <v>11.298216</v>
      </c>
      <c r="L46" s="120"/>
      <c r="M46" s="120"/>
      <c r="N46" s="120"/>
    </row>
    <row r="47" spans="1:14" ht="15" customHeight="1">
      <c r="A47" s="130" t="s">
        <v>532</v>
      </c>
      <c r="B47" s="131">
        <v>138</v>
      </c>
      <c r="C47" s="365">
        <v>16.579999999999998</v>
      </c>
      <c r="D47" s="365">
        <v>14.040000000000001</v>
      </c>
      <c r="E47" s="365">
        <v>11.790000000000001</v>
      </c>
      <c r="F47" s="138"/>
      <c r="G47" s="130" t="s">
        <v>532</v>
      </c>
      <c r="H47" s="131">
        <v>138</v>
      </c>
      <c r="I47" s="151">
        <f>C47*Factores!F23+PCSPT!E35</f>
        <v>26.624927999999997</v>
      </c>
      <c r="J47" s="132">
        <f>D47*Factores!F23</f>
        <v>13.781664000000001</v>
      </c>
      <c r="K47" s="132">
        <f>E47*Factores!F23</f>
        <v>11.573064</v>
      </c>
      <c r="L47" s="120"/>
      <c r="M47" s="120"/>
      <c r="N47" s="120"/>
    </row>
    <row r="48" spans="1:14" s="138" customFormat="1" ht="15" customHeight="1">
      <c r="A48" s="155" t="s">
        <v>532</v>
      </c>
      <c r="B48" s="131">
        <v>60</v>
      </c>
      <c r="C48" s="365">
        <v>16.579999999999998</v>
      </c>
      <c r="D48" s="365">
        <v>14.06</v>
      </c>
      <c r="E48" s="365">
        <v>11.8</v>
      </c>
      <c r="G48" s="155" t="s">
        <v>532</v>
      </c>
      <c r="H48" s="131">
        <v>60</v>
      </c>
      <c r="I48" s="157">
        <f>C48*Factores!F23+PCSPT!E35</f>
        <v>26.624927999999997</v>
      </c>
      <c r="J48" s="156">
        <f>D48*Factores!F23+CPSEE!E11</f>
        <v>15.220596</v>
      </c>
      <c r="K48" s="156">
        <f>E48*Factores!F23+CPSEE!E11</f>
        <v>13.002180000000001</v>
      </c>
    </row>
    <row r="49" spans="1:14" ht="15" customHeight="1">
      <c r="A49" s="130" t="s">
        <v>533</v>
      </c>
      <c r="B49" s="131">
        <v>138</v>
      </c>
      <c r="C49" s="365">
        <v>16.579999999999998</v>
      </c>
      <c r="D49" s="365">
        <v>18.89</v>
      </c>
      <c r="E49" s="365">
        <v>12</v>
      </c>
      <c r="F49" s="138"/>
      <c r="G49" s="130" t="s">
        <v>533</v>
      </c>
      <c r="H49" s="131">
        <v>138</v>
      </c>
      <c r="I49" s="151">
        <f>C49*Factores!F23+PCSPT!E35</f>
        <v>26.624927999999997</v>
      </c>
      <c r="J49" s="132">
        <f>D49*Factores!F23</f>
        <v>18.542424</v>
      </c>
      <c r="K49" s="132">
        <f>E49*Factores!F23</f>
        <v>11.779199999999999</v>
      </c>
      <c r="L49" s="120"/>
      <c r="M49" s="120"/>
      <c r="N49" s="120"/>
    </row>
    <row r="50" spans="1:14" ht="15" customHeight="1">
      <c r="A50" s="130" t="s">
        <v>534</v>
      </c>
      <c r="B50" s="131">
        <v>138</v>
      </c>
      <c r="C50" s="365">
        <v>16.579999999999998</v>
      </c>
      <c r="D50" s="365">
        <v>20.97</v>
      </c>
      <c r="E50" s="365">
        <v>12.790000000000001</v>
      </c>
      <c r="F50" s="138"/>
      <c r="G50" s="130" t="s">
        <v>534</v>
      </c>
      <c r="H50" s="131">
        <v>138</v>
      </c>
      <c r="I50" s="151">
        <f>C50*Factores!F23+PCSPT!E35</f>
        <v>26.624927999999997</v>
      </c>
      <c r="J50" s="132">
        <f>D50*Factores!F23</f>
        <v>20.584152</v>
      </c>
      <c r="K50" s="132">
        <f>E50*Factores!F23</f>
        <v>12.554664000000001</v>
      </c>
      <c r="L50" s="120"/>
      <c r="M50" s="120"/>
      <c r="N50" s="120"/>
    </row>
    <row r="51" spans="1:14" ht="15" customHeight="1">
      <c r="A51" s="130" t="s">
        <v>530</v>
      </c>
      <c r="B51" s="131">
        <v>138</v>
      </c>
      <c r="C51" s="365">
        <v>16.579999999999998</v>
      </c>
      <c r="D51" s="365">
        <v>14.02</v>
      </c>
      <c r="E51" s="365">
        <v>11.89</v>
      </c>
      <c r="F51" s="138"/>
      <c r="G51" s="130" t="s">
        <v>530</v>
      </c>
      <c r="H51" s="131">
        <v>138</v>
      </c>
      <c r="I51" s="151">
        <f>C51*Factores!F23+PCSPT!E35</f>
        <v>26.624927999999997</v>
      </c>
      <c r="J51" s="132">
        <f>D51*Factores!F23</f>
        <v>13.762032</v>
      </c>
      <c r="K51" s="132">
        <f>E51*Factores!F23</f>
        <v>11.671224</v>
      </c>
      <c r="L51" s="120"/>
      <c r="M51" s="120"/>
      <c r="N51" s="120"/>
    </row>
    <row r="52" spans="1:14" ht="15" customHeight="1">
      <c r="A52" s="130" t="s">
        <v>535</v>
      </c>
      <c r="B52" s="131">
        <v>138</v>
      </c>
      <c r="C52" s="365">
        <v>16.579999999999998</v>
      </c>
      <c r="D52" s="365">
        <v>14.05</v>
      </c>
      <c r="E52" s="365">
        <v>11.89</v>
      </c>
      <c r="F52" s="138"/>
      <c r="G52" s="130" t="s">
        <v>535</v>
      </c>
      <c r="H52" s="131">
        <v>138</v>
      </c>
      <c r="I52" s="151">
        <f>C52*Factores!F23+PCSPT!E35</f>
        <v>26.624927999999997</v>
      </c>
      <c r="J52" s="132">
        <f>D52*Factores!F23</f>
        <v>13.791480000000002</v>
      </c>
      <c r="K52" s="132">
        <f>E52*Factores!F23</f>
        <v>11.671224</v>
      </c>
      <c r="L52" s="120"/>
      <c r="M52" s="120"/>
      <c r="N52" s="120"/>
    </row>
    <row r="53" spans="1:14" ht="15" customHeight="1">
      <c r="A53" s="130" t="s">
        <v>536</v>
      </c>
      <c r="B53" s="131">
        <v>138</v>
      </c>
      <c r="C53" s="365">
        <v>16.579999999999998</v>
      </c>
      <c r="D53" s="365">
        <v>13.96</v>
      </c>
      <c r="E53" s="365">
        <v>11.790000000000001</v>
      </c>
      <c r="F53" s="138"/>
      <c r="G53" s="130" t="s">
        <v>536</v>
      </c>
      <c r="H53" s="131">
        <v>138</v>
      </c>
      <c r="I53" s="151">
        <f>C53*Factores!F23+PCSPT!E35</f>
        <v>26.624927999999997</v>
      </c>
      <c r="J53" s="132">
        <f>D53*Factores!F23</f>
        <v>13.703136000000001</v>
      </c>
      <c r="K53" s="132">
        <f>E53*Factores!F23</f>
        <v>11.573064</v>
      </c>
      <c r="L53" s="120"/>
      <c r="M53" s="120"/>
      <c r="N53" s="120"/>
    </row>
    <row r="54" spans="1:14" ht="15" customHeight="1">
      <c r="A54" s="130" t="s">
        <v>537</v>
      </c>
      <c r="B54" s="131">
        <v>220</v>
      </c>
      <c r="C54" s="365">
        <v>16.579999999999998</v>
      </c>
      <c r="D54" s="365">
        <v>13.33</v>
      </c>
      <c r="E54" s="365">
        <v>11.280000000000001</v>
      </c>
      <c r="F54" s="138"/>
      <c r="G54" s="130" t="s">
        <v>537</v>
      </c>
      <c r="H54" s="131">
        <v>220</v>
      </c>
      <c r="I54" s="151">
        <f>C54*Factores!F23+PCSPT!E35</f>
        <v>26.624927999999997</v>
      </c>
      <c r="J54" s="132">
        <f>D54*Factores!F23</f>
        <v>13.084728</v>
      </c>
      <c r="K54" s="132">
        <f>E54*Factores!F23</f>
        <v>11.072448000000001</v>
      </c>
      <c r="L54" s="120"/>
      <c r="M54" s="120"/>
      <c r="N54" s="120"/>
    </row>
    <row r="55" spans="1:14" ht="15" customHeight="1">
      <c r="A55" s="130" t="s">
        <v>538</v>
      </c>
      <c r="B55" s="131">
        <v>138</v>
      </c>
      <c r="C55" s="365">
        <v>16.579999999999998</v>
      </c>
      <c r="D55" s="365">
        <v>13.02</v>
      </c>
      <c r="E55" s="365">
        <v>11.040000000000001</v>
      </c>
      <c r="F55" s="138"/>
      <c r="G55" s="130" t="s">
        <v>538</v>
      </c>
      <c r="H55" s="131">
        <v>138</v>
      </c>
      <c r="I55" s="151">
        <f>C55*Factores!F23+PCSPT!E35</f>
        <v>26.624927999999997</v>
      </c>
      <c r="J55" s="132">
        <f>D55*Factores!F23</f>
        <v>12.780431999999999</v>
      </c>
      <c r="K55" s="132">
        <f>E55*Factores!F23</f>
        <v>10.836864000000002</v>
      </c>
      <c r="L55" s="120"/>
      <c r="M55" s="120"/>
      <c r="N55" s="120"/>
    </row>
    <row r="56" spans="1:14" ht="15" customHeight="1">
      <c r="A56" s="130" t="s">
        <v>539</v>
      </c>
      <c r="B56" s="131">
        <v>138</v>
      </c>
      <c r="C56" s="365">
        <v>16.579999999999998</v>
      </c>
      <c r="D56" s="365">
        <v>13.02</v>
      </c>
      <c r="E56" s="365">
        <v>11.040000000000001</v>
      </c>
      <c r="F56" s="138"/>
      <c r="G56" s="130" t="s">
        <v>539</v>
      </c>
      <c r="H56" s="131">
        <v>138</v>
      </c>
      <c r="I56" s="151">
        <f>C56*Factores!F23+PCSPT!E35</f>
        <v>26.624927999999997</v>
      </c>
      <c r="J56" s="132">
        <f>D56*Factores!F23</f>
        <v>12.780431999999999</v>
      </c>
      <c r="K56" s="132">
        <f>E56*Factores!F23</f>
        <v>10.836864000000002</v>
      </c>
      <c r="L56" s="120"/>
      <c r="M56" s="120"/>
      <c r="N56" s="120"/>
    </row>
    <row r="57" spans="1:14" ht="15" customHeight="1">
      <c r="A57" s="130" t="s">
        <v>539</v>
      </c>
      <c r="B57" s="131">
        <v>220</v>
      </c>
      <c r="C57" s="365">
        <v>16.579999999999998</v>
      </c>
      <c r="D57" s="365">
        <v>13.07</v>
      </c>
      <c r="E57" s="365">
        <v>11.07</v>
      </c>
      <c r="F57" s="138"/>
      <c r="G57" s="130" t="s">
        <v>539</v>
      </c>
      <c r="H57" s="131">
        <v>220</v>
      </c>
      <c r="I57" s="151">
        <f>C57*Factores!F23+PCSPT!E35</f>
        <v>26.624927999999997</v>
      </c>
      <c r="J57" s="132">
        <f>D57*Factores!F23</f>
        <v>12.829512000000001</v>
      </c>
      <c r="K57" s="132">
        <f>E57*Factores!F23</f>
        <v>10.866312000000001</v>
      </c>
      <c r="L57" s="120"/>
      <c r="M57" s="120"/>
      <c r="N57" s="120"/>
    </row>
    <row r="58" spans="1:14" ht="15" customHeight="1">
      <c r="A58" s="130" t="s">
        <v>540</v>
      </c>
      <c r="B58" s="131">
        <v>220</v>
      </c>
      <c r="C58" s="365">
        <v>16.579999999999998</v>
      </c>
      <c r="D58" s="365">
        <v>13.35</v>
      </c>
      <c r="E58" s="365">
        <v>11.27</v>
      </c>
      <c r="F58" s="138"/>
      <c r="G58" s="130" t="s">
        <v>540</v>
      </c>
      <c r="H58" s="131">
        <v>220</v>
      </c>
      <c r="I58" s="151">
        <f>C58*Factores!F23+PCSPT!E35</f>
        <v>26.624927999999997</v>
      </c>
      <c r="J58" s="132">
        <f>D58*Factores!F23</f>
        <v>13.10436</v>
      </c>
      <c r="K58" s="132">
        <f>E58*Factores!F23</f>
        <v>11.062632000000001</v>
      </c>
      <c r="L58" s="120"/>
      <c r="M58" s="120"/>
      <c r="N58" s="120"/>
    </row>
    <row r="59" spans="1:14" ht="15" customHeight="1">
      <c r="A59" s="130" t="s">
        <v>540</v>
      </c>
      <c r="B59" s="131">
        <v>138</v>
      </c>
      <c r="C59" s="365">
        <v>16.579999999999998</v>
      </c>
      <c r="D59" s="365">
        <v>13.530000000000001</v>
      </c>
      <c r="E59" s="365">
        <v>11.46</v>
      </c>
      <c r="F59" s="138"/>
      <c r="G59" s="130" t="s">
        <v>540</v>
      </c>
      <c r="H59" s="131">
        <v>138</v>
      </c>
      <c r="I59" s="151">
        <f>C59*Factores!F23+PCSPT!E35</f>
        <v>26.624927999999997</v>
      </c>
      <c r="J59" s="132">
        <f>D59*Factores!F23</f>
        <v>13.281048000000002</v>
      </c>
      <c r="K59" s="132">
        <f>E59*Factores!F23</f>
        <v>11.249136000000002</v>
      </c>
      <c r="L59" s="120"/>
      <c r="M59" s="120"/>
      <c r="N59" s="120"/>
    </row>
    <row r="60" spans="1:14" ht="15" customHeight="1">
      <c r="A60" s="130" t="s">
        <v>540</v>
      </c>
      <c r="B60" s="131">
        <v>50</v>
      </c>
      <c r="C60" s="365">
        <v>16.579999999999998</v>
      </c>
      <c r="D60" s="365">
        <v>14.040000000000001</v>
      </c>
      <c r="E60" s="365">
        <v>11.860000000000001</v>
      </c>
      <c r="F60" s="138"/>
      <c r="G60" s="130" t="s">
        <v>540</v>
      </c>
      <c r="H60" s="131">
        <v>50</v>
      </c>
      <c r="I60" s="151">
        <f>C60*Factores!F23+PCSPT!E35</f>
        <v>26.624927999999997</v>
      </c>
      <c r="J60" s="132">
        <f>D60*Factores!F23</f>
        <v>13.781664000000001</v>
      </c>
      <c r="K60" s="132">
        <f>E60*Factores!F23</f>
        <v>11.641776000000002</v>
      </c>
      <c r="L60" s="120"/>
      <c r="M60" s="120"/>
      <c r="N60" s="120"/>
    </row>
    <row r="61" spans="1:14" ht="15" customHeight="1">
      <c r="A61" s="130" t="s">
        <v>541</v>
      </c>
      <c r="B61" s="131">
        <v>138</v>
      </c>
      <c r="C61" s="365">
        <v>16.579999999999998</v>
      </c>
      <c r="D61" s="365">
        <v>12.56</v>
      </c>
      <c r="E61" s="365">
        <v>10.81</v>
      </c>
      <c r="F61" s="138"/>
      <c r="G61" s="130" t="s">
        <v>541</v>
      </c>
      <c r="H61" s="131">
        <v>138</v>
      </c>
      <c r="I61" s="151">
        <f>C61*Factores!F23+PCSPT!E35</f>
        <v>26.624927999999997</v>
      </c>
      <c r="J61" s="132">
        <f>D61*Factores!F23</f>
        <v>12.328896</v>
      </c>
      <c r="K61" s="132">
        <f>E61*Factores!F23</f>
        <v>10.611096000000002</v>
      </c>
      <c r="L61" s="120"/>
      <c r="M61" s="120"/>
      <c r="N61" s="120"/>
    </row>
    <row r="62" spans="1:14" ht="15" customHeight="1">
      <c r="A62" s="130" t="s">
        <v>542</v>
      </c>
      <c r="B62" s="131">
        <v>220</v>
      </c>
      <c r="C62" s="365">
        <v>16.579999999999998</v>
      </c>
      <c r="D62" s="365">
        <v>13.15</v>
      </c>
      <c r="E62" s="365">
        <v>11.14</v>
      </c>
      <c r="F62" s="138"/>
      <c r="G62" s="130" t="s">
        <v>542</v>
      </c>
      <c r="H62" s="131">
        <v>220</v>
      </c>
      <c r="I62" s="151">
        <f>C62*Factores!F23+PCSPT!E35</f>
        <v>26.624927999999997</v>
      </c>
      <c r="J62" s="132">
        <f>D62*Factores!F23</f>
        <v>12.908040000000002</v>
      </c>
      <c r="K62" s="132">
        <f>E62*Factores!F23</f>
        <v>10.935024</v>
      </c>
      <c r="L62" s="120"/>
      <c r="M62" s="120"/>
      <c r="N62" s="120"/>
    </row>
    <row r="63" spans="1:14" ht="15" customHeight="1">
      <c r="A63" s="130" t="s">
        <v>543</v>
      </c>
      <c r="B63" s="131">
        <v>138</v>
      </c>
      <c r="C63" s="365">
        <v>16.579999999999998</v>
      </c>
      <c r="D63" s="365">
        <v>13.200000000000001</v>
      </c>
      <c r="E63" s="365">
        <v>11.24</v>
      </c>
      <c r="F63" s="138"/>
      <c r="G63" s="130" t="s">
        <v>543</v>
      </c>
      <c r="H63" s="131">
        <v>138</v>
      </c>
      <c r="I63" s="151">
        <f>C63*Factores!F23+PCSPT!E35</f>
        <v>26.624927999999997</v>
      </c>
      <c r="J63" s="132">
        <f>D63*Factores!F23</f>
        <v>12.957120000000002</v>
      </c>
      <c r="K63" s="132">
        <f>E63*Factores!F23</f>
        <v>11.033184</v>
      </c>
      <c r="L63" s="120"/>
      <c r="M63" s="120"/>
      <c r="N63" s="120"/>
    </row>
    <row r="64" spans="1:14" ht="15" customHeight="1">
      <c r="A64" s="130" t="s">
        <v>544</v>
      </c>
      <c r="B64" s="131">
        <v>220</v>
      </c>
      <c r="C64" s="365">
        <v>16.579999999999998</v>
      </c>
      <c r="D64" s="365">
        <v>13.24</v>
      </c>
      <c r="E64" s="365">
        <v>11.190000000000001</v>
      </c>
      <c r="F64" s="138"/>
      <c r="G64" s="130" t="s">
        <v>544</v>
      </c>
      <c r="H64" s="131">
        <v>220</v>
      </c>
      <c r="I64" s="151">
        <f>C64*Factores!F23+PCSPT!E35</f>
        <v>26.624927999999997</v>
      </c>
      <c r="J64" s="132">
        <f>D64*Factores!F23</f>
        <v>12.996384000000001</v>
      </c>
      <c r="K64" s="132">
        <f>E64*Factores!F23</f>
        <v>10.984104000000002</v>
      </c>
      <c r="L64" s="120"/>
      <c r="M64" s="120"/>
      <c r="N64" s="120"/>
    </row>
    <row r="65" spans="1:14" ht="15" customHeight="1">
      <c r="A65" s="130" t="s">
        <v>545</v>
      </c>
      <c r="B65" s="131">
        <v>138</v>
      </c>
      <c r="C65" s="365">
        <v>16.579999999999998</v>
      </c>
      <c r="D65" s="365">
        <v>13.23</v>
      </c>
      <c r="E65" s="365">
        <v>11.27</v>
      </c>
      <c r="F65" s="138"/>
      <c r="G65" s="130" t="s">
        <v>545</v>
      </c>
      <c r="H65" s="131">
        <v>138</v>
      </c>
      <c r="I65" s="151">
        <f>C65*Factores!F23+PCSPT!E35</f>
        <v>26.624927999999997</v>
      </c>
      <c r="J65" s="132">
        <f>D65*Factores!F23</f>
        <v>12.986568</v>
      </c>
      <c r="K65" s="132">
        <f>E65*Factores!F23</f>
        <v>11.062632000000001</v>
      </c>
      <c r="L65" s="120"/>
      <c r="M65" s="120"/>
      <c r="N65" s="120"/>
    </row>
    <row r="66" spans="1:14" ht="15" customHeight="1">
      <c r="A66" s="130" t="s">
        <v>545</v>
      </c>
      <c r="B66" s="131">
        <v>44</v>
      </c>
      <c r="C66" s="365">
        <v>16.579999999999998</v>
      </c>
      <c r="D66" s="365">
        <v>13.23</v>
      </c>
      <c r="E66" s="365">
        <v>11.27</v>
      </c>
      <c r="F66" s="138"/>
      <c r="G66" s="130" t="s">
        <v>545</v>
      </c>
      <c r="H66" s="131">
        <v>44</v>
      </c>
      <c r="I66" s="151">
        <f>C66*Factores!F23+PCSPT!E35</f>
        <v>26.624927999999997</v>
      </c>
      <c r="J66" s="132">
        <f>D66*Factores!F23</f>
        <v>12.986568</v>
      </c>
      <c r="K66" s="132">
        <f>E66*Factores!F23</f>
        <v>11.062632000000001</v>
      </c>
      <c r="L66" s="120"/>
      <c r="M66" s="120"/>
      <c r="N66" s="120"/>
    </row>
    <row r="67" spans="1:14" ht="15" customHeight="1">
      <c r="A67" s="130" t="s">
        <v>546</v>
      </c>
      <c r="B67" s="131">
        <v>138</v>
      </c>
      <c r="C67" s="365">
        <v>16.579999999999998</v>
      </c>
      <c r="D67" s="365">
        <v>14.950000000000001</v>
      </c>
      <c r="E67" s="365">
        <v>11.96</v>
      </c>
      <c r="F67" s="138"/>
      <c r="G67" s="130" t="s">
        <v>546</v>
      </c>
      <c r="H67" s="131">
        <v>138</v>
      </c>
      <c r="I67" s="151">
        <f>C67*Factores!F23+PCSPT!E35</f>
        <v>26.624927999999997</v>
      </c>
      <c r="J67" s="132">
        <f>D67*Factores!F23</f>
        <v>14.674920000000002</v>
      </c>
      <c r="K67" s="132">
        <f>E67*Factores!F23</f>
        <v>11.739936000000002</v>
      </c>
      <c r="L67" s="120"/>
      <c r="M67" s="120"/>
      <c r="N67" s="120"/>
    </row>
    <row r="68" spans="1:14" ht="15" customHeight="1">
      <c r="A68" s="130" t="s">
        <v>547</v>
      </c>
      <c r="B68" s="131">
        <v>138</v>
      </c>
      <c r="C68" s="365">
        <v>16.579999999999998</v>
      </c>
      <c r="D68" s="365">
        <v>15.41</v>
      </c>
      <c r="E68" s="365">
        <v>12.33</v>
      </c>
      <c r="F68" s="138"/>
      <c r="G68" s="130" t="s">
        <v>547</v>
      </c>
      <c r="H68" s="131">
        <v>138</v>
      </c>
      <c r="I68" s="151">
        <f>C68*Factores!F23+PCSPT!E35</f>
        <v>26.624927999999997</v>
      </c>
      <c r="J68" s="132">
        <f>D68*Factores!F23</f>
        <v>15.126456000000001</v>
      </c>
      <c r="K68" s="132">
        <f>E68*Factores!F23</f>
        <v>12.103128</v>
      </c>
      <c r="L68" s="120"/>
      <c r="M68" s="120"/>
      <c r="N68" s="120"/>
    </row>
    <row r="69" spans="1:14" ht="15" customHeight="1">
      <c r="A69" s="130" t="s">
        <v>58</v>
      </c>
      <c r="B69" s="131">
        <v>138</v>
      </c>
      <c r="C69" s="365">
        <v>16.579999999999998</v>
      </c>
      <c r="D69" s="365">
        <v>15.39</v>
      </c>
      <c r="E69" s="365">
        <v>12.33</v>
      </c>
      <c r="F69" s="138"/>
      <c r="G69" s="130" t="s">
        <v>58</v>
      </c>
      <c r="H69" s="131">
        <v>138</v>
      </c>
      <c r="I69" s="151">
        <f>C69*Factores!F23+PCSPT!E35</f>
        <v>26.624927999999997</v>
      </c>
      <c r="J69" s="132">
        <f>D69*Factores!F23</f>
        <v>15.106824000000001</v>
      </c>
      <c r="K69" s="132">
        <f>E69*Factores!F23</f>
        <v>12.103128</v>
      </c>
      <c r="L69" s="120"/>
      <c r="M69" s="120"/>
      <c r="N69" s="120"/>
    </row>
    <row r="70" spans="1:14" ht="15" customHeight="1">
      <c r="A70" s="130" t="s">
        <v>548</v>
      </c>
      <c r="B70" s="131">
        <v>138</v>
      </c>
      <c r="C70" s="365">
        <v>16.579999999999998</v>
      </c>
      <c r="D70" s="365">
        <v>15.35</v>
      </c>
      <c r="E70" s="365">
        <v>12.46</v>
      </c>
      <c r="F70" s="138"/>
      <c r="G70" s="130" t="s">
        <v>548</v>
      </c>
      <c r="H70" s="131">
        <v>138</v>
      </c>
      <c r="I70" s="151">
        <f>C70*Factores!F23+PCSPT!E35</f>
        <v>26.624927999999997</v>
      </c>
      <c r="J70" s="132">
        <f>D70*Factores!F23</f>
        <v>15.06756</v>
      </c>
      <c r="K70" s="132">
        <f>E70*Factores!F23</f>
        <v>12.230736000000002</v>
      </c>
      <c r="L70" s="120"/>
      <c r="M70" s="120"/>
      <c r="N70" s="120"/>
    </row>
    <row r="71" spans="1:14" ht="15" customHeight="1">
      <c r="A71" s="130" t="s">
        <v>549</v>
      </c>
      <c r="B71" s="131">
        <v>138</v>
      </c>
      <c r="C71" s="365">
        <v>16.579999999999998</v>
      </c>
      <c r="D71" s="365">
        <v>15.25</v>
      </c>
      <c r="E71" s="365">
        <v>12.610000000000001</v>
      </c>
      <c r="F71" s="138"/>
      <c r="G71" s="130" t="s">
        <v>549</v>
      </c>
      <c r="H71" s="131">
        <v>138</v>
      </c>
      <c r="I71" s="151">
        <f>C71*Factores!F23+PCSPT!E35</f>
        <v>26.624927999999997</v>
      </c>
      <c r="J71" s="132">
        <f>D71*Factores!F23</f>
        <v>14.9694</v>
      </c>
      <c r="K71" s="132">
        <f>E71*Factores!F23</f>
        <v>12.377976000000002</v>
      </c>
      <c r="L71" s="120"/>
      <c r="M71" s="120"/>
      <c r="N71" s="120"/>
    </row>
    <row r="72" spans="1:14" ht="15" customHeight="1">
      <c r="A72" s="130" t="s">
        <v>550</v>
      </c>
      <c r="B72" s="131">
        <v>138</v>
      </c>
      <c r="C72" s="365">
        <v>16.579999999999998</v>
      </c>
      <c r="D72" s="365">
        <v>14.82</v>
      </c>
      <c r="E72" s="365">
        <v>12.32</v>
      </c>
      <c r="F72" s="138"/>
      <c r="G72" s="130" t="s">
        <v>550</v>
      </c>
      <c r="H72" s="131">
        <v>138</v>
      </c>
      <c r="I72" s="151">
        <f>C72*Factores!F23+PCSPT!E35</f>
        <v>26.624927999999997</v>
      </c>
      <c r="J72" s="132">
        <f>D72*Factores!F23</f>
        <v>14.547312000000002</v>
      </c>
      <c r="K72" s="132">
        <f>E72*Factores!F23</f>
        <v>12.093312000000001</v>
      </c>
      <c r="L72" s="120"/>
      <c r="M72" s="120"/>
      <c r="N72" s="120"/>
    </row>
    <row r="73" spans="1:14" ht="15" customHeight="1">
      <c r="A73" s="130" t="s">
        <v>551</v>
      </c>
      <c r="B73" s="131">
        <v>138</v>
      </c>
      <c r="C73" s="365">
        <v>16.579999999999998</v>
      </c>
      <c r="D73" s="365">
        <v>14.57</v>
      </c>
      <c r="E73" s="365">
        <v>11.940000000000001</v>
      </c>
      <c r="F73" s="138"/>
      <c r="G73" s="130" t="s">
        <v>551</v>
      </c>
      <c r="H73" s="131">
        <v>138</v>
      </c>
      <c r="I73" s="151">
        <f>C73*Factores!F23+PCSPT!E35</f>
        <v>26.624927999999997</v>
      </c>
      <c r="J73" s="132">
        <f>D73*Factores!F23</f>
        <v>14.301912000000002</v>
      </c>
      <c r="K73" s="132">
        <f>E73*Factores!F23</f>
        <v>11.720304000000002</v>
      </c>
      <c r="L73" s="120"/>
      <c r="M73" s="120"/>
      <c r="N73" s="120"/>
    </row>
    <row r="74" spans="1:14" ht="15" customHeight="1">
      <c r="A74" s="130" t="s">
        <v>552</v>
      </c>
      <c r="B74" s="131">
        <v>138</v>
      </c>
      <c r="C74" s="365">
        <v>16.579999999999998</v>
      </c>
      <c r="D74" s="365">
        <v>14.57</v>
      </c>
      <c r="E74" s="365">
        <v>11.940000000000001</v>
      </c>
      <c r="F74" s="138"/>
      <c r="G74" s="130" t="s">
        <v>552</v>
      </c>
      <c r="H74" s="131">
        <v>138</v>
      </c>
      <c r="I74" s="151">
        <f>C74*Factores!F23+PCSPT!E35</f>
        <v>26.624927999999997</v>
      </c>
      <c r="J74" s="132">
        <f>D74*Factores!F23</f>
        <v>14.301912000000002</v>
      </c>
      <c r="K74" s="132">
        <f>E74*Factores!F23</f>
        <v>11.720304000000002</v>
      </c>
      <c r="L74" s="120"/>
      <c r="M74" s="120"/>
      <c r="N74" s="120"/>
    </row>
    <row r="75" spans="1:14" ht="15" customHeight="1">
      <c r="A75" s="130" t="s">
        <v>553</v>
      </c>
      <c r="B75" s="131">
        <v>138</v>
      </c>
      <c r="C75" s="365">
        <v>16.579999999999998</v>
      </c>
      <c r="D75" s="365">
        <v>14.67</v>
      </c>
      <c r="E75" s="365">
        <v>11.99</v>
      </c>
      <c r="F75" s="138"/>
      <c r="G75" s="130" t="s">
        <v>553</v>
      </c>
      <c r="H75" s="131">
        <v>138</v>
      </c>
      <c r="I75" s="151">
        <f>C75*Factores!F23+PCSPT!E35</f>
        <v>26.624927999999997</v>
      </c>
      <c r="J75" s="132">
        <f>D75*Factores!F23</f>
        <v>14.400072</v>
      </c>
      <c r="K75" s="132">
        <f>E75*Factores!F23</f>
        <v>11.769384000000001</v>
      </c>
      <c r="L75" s="120"/>
      <c r="M75" s="120"/>
      <c r="N75" s="120"/>
    </row>
    <row r="76" spans="1:14" ht="15" customHeight="1">
      <c r="A76" s="130" t="s">
        <v>554</v>
      </c>
      <c r="B76" s="131">
        <v>138</v>
      </c>
      <c r="C76" s="365">
        <v>16.579999999999998</v>
      </c>
      <c r="D76" s="365">
        <v>14.89</v>
      </c>
      <c r="E76" s="365">
        <v>12.110000000000001</v>
      </c>
      <c r="F76" s="138"/>
      <c r="G76" s="130" t="s">
        <v>554</v>
      </c>
      <c r="H76" s="131">
        <v>138</v>
      </c>
      <c r="I76" s="151">
        <f>C76*Factores!F23+PCSPT!E35</f>
        <v>26.624927999999997</v>
      </c>
      <c r="J76" s="132">
        <f>D76*Factores!F23</f>
        <v>14.616024000000001</v>
      </c>
      <c r="K76" s="132">
        <f>E76*Factores!F23</f>
        <v>11.887176000000002</v>
      </c>
      <c r="L76" s="120"/>
      <c r="M76" s="120"/>
      <c r="N76" s="120"/>
    </row>
    <row r="77" spans="1:14" ht="15" customHeight="1">
      <c r="A77" s="130" t="s">
        <v>555</v>
      </c>
      <c r="B77" s="131">
        <v>138</v>
      </c>
      <c r="C77" s="365">
        <v>16.579999999999998</v>
      </c>
      <c r="D77" s="365">
        <v>14.92</v>
      </c>
      <c r="E77" s="365">
        <v>12.32</v>
      </c>
      <c r="F77" s="138"/>
      <c r="G77" s="130" t="s">
        <v>555</v>
      </c>
      <c r="H77" s="131">
        <v>138</v>
      </c>
      <c r="I77" s="151">
        <f>C77*Factores!F23+PCSPT!E35</f>
        <v>26.624927999999997</v>
      </c>
      <c r="J77" s="132">
        <f>D77*Factores!F23</f>
        <v>14.645472</v>
      </c>
      <c r="K77" s="132">
        <f>E77*Factores!F23</f>
        <v>12.093312000000001</v>
      </c>
      <c r="L77" s="120"/>
      <c r="M77" s="120"/>
      <c r="N77" s="120"/>
    </row>
    <row r="78" spans="1:14" ht="15" customHeight="1">
      <c r="A78" s="130" t="s">
        <v>556</v>
      </c>
      <c r="B78" s="131">
        <v>138</v>
      </c>
      <c r="C78" s="365">
        <v>16.579999999999998</v>
      </c>
      <c r="D78" s="365">
        <v>14.99</v>
      </c>
      <c r="E78" s="365">
        <v>12.440000000000001</v>
      </c>
      <c r="F78" s="138"/>
      <c r="G78" s="130" t="s">
        <v>556</v>
      </c>
      <c r="H78" s="131">
        <v>138</v>
      </c>
      <c r="I78" s="151">
        <f>C78*Factores!F23+PCSPT!E35</f>
        <v>26.624927999999997</v>
      </c>
      <c r="J78" s="132">
        <f>D78*Factores!F23</f>
        <v>14.714184000000001</v>
      </c>
      <c r="K78" s="132">
        <f>E78*Factores!F23</f>
        <v>12.211104000000002</v>
      </c>
      <c r="L78" s="120"/>
      <c r="M78" s="120"/>
      <c r="N78" s="120"/>
    </row>
    <row r="79" spans="1:14" ht="15" customHeight="1">
      <c r="A79" s="130" t="s">
        <v>556</v>
      </c>
      <c r="B79" s="131">
        <v>220</v>
      </c>
      <c r="C79" s="365">
        <v>16.579999999999998</v>
      </c>
      <c r="D79" s="365">
        <v>15.01</v>
      </c>
      <c r="E79" s="365">
        <v>12.450000000000001</v>
      </c>
      <c r="F79" s="138"/>
      <c r="G79" s="130" t="s">
        <v>556</v>
      </c>
      <c r="H79" s="131">
        <v>220</v>
      </c>
      <c r="I79" s="151">
        <f>C79*Factores!F23+PCSPT!E35</f>
        <v>26.624927999999997</v>
      </c>
      <c r="J79" s="132">
        <f>D79*Factores!F23</f>
        <v>14.733816000000001</v>
      </c>
      <c r="K79" s="132">
        <f>E79*Factores!F23</f>
        <v>12.220920000000001</v>
      </c>
      <c r="L79" s="120"/>
      <c r="M79" s="120"/>
      <c r="N79" s="120"/>
    </row>
    <row r="80" spans="1:14" ht="15" customHeight="1">
      <c r="A80" s="130" t="s">
        <v>557</v>
      </c>
      <c r="B80" s="131">
        <v>138</v>
      </c>
      <c r="C80" s="365">
        <v>16.579999999999998</v>
      </c>
      <c r="D80" s="365">
        <v>15.06</v>
      </c>
      <c r="E80" s="365">
        <v>12.5</v>
      </c>
      <c r="F80" s="138"/>
      <c r="G80" s="130" t="s">
        <v>557</v>
      </c>
      <c r="H80" s="131">
        <v>138</v>
      </c>
      <c r="I80" s="151">
        <f>C80*Factores!F23+PCSPT!E35</f>
        <v>26.624927999999997</v>
      </c>
      <c r="J80" s="132">
        <f>D80*Factores!F23</f>
        <v>14.782896000000001</v>
      </c>
      <c r="K80" s="132">
        <f>E80*Factores!F23</f>
        <v>12.27</v>
      </c>
      <c r="L80" s="120"/>
      <c r="M80" s="120"/>
      <c r="N80" s="120"/>
    </row>
    <row r="81" spans="1:14" ht="15" customHeight="1">
      <c r="A81" s="130" t="s">
        <v>558</v>
      </c>
      <c r="B81" s="131">
        <v>138</v>
      </c>
      <c r="C81" s="365">
        <v>16.579999999999998</v>
      </c>
      <c r="D81" s="365">
        <v>14.790000000000001</v>
      </c>
      <c r="E81" s="365">
        <v>12.35</v>
      </c>
      <c r="F81" s="138"/>
      <c r="G81" s="130" t="s">
        <v>558</v>
      </c>
      <c r="H81" s="131">
        <v>138</v>
      </c>
      <c r="I81" s="151">
        <f>C81*Factores!F23+PCSPT!E35</f>
        <v>26.624927999999997</v>
      </c>
      <c r="J81" s="132">
        <f>D81*Factores!F23</f>
        <v>14.517864000000001</v>
      </c>
      <c r="K81" s="132">
        <f>E81*Factores!F23</f>
        <v>12.12276</v>
      </c>
      <c r="L81" s="120"/>
      <c r="M81" s="120"/>
      <c r="N81" s="120"/>
    </row>
    <row r="82" spans="1:14" ht="15" customHeight="1">
      <c r="A82" s="130" t="s">
        <v>559</v>
      </c>
      <c r="B82" s="131">
        <v>138</v>
      </c>
      <c r="C82" s="365">
        <v>16.579999999999998</v>
      </c>
      <c r="D82" s="365">
        <v>14.85</v>
      </c>
      <c r="E82" s="365">
        <v>12.4</v>
      </c>
      <c r="F82" s="138"/>
      <c r="G82" s="130" t="s">
        <v>559</v>
      </c>
      <c r="H82" s="131">
        <v>138</v>
      </c>
      <c r="I82" s="151">
        <f>C82*Factores!F23+PCSPT!E35</f>
        <v>26.624927999999997</v>
      </c>
      <c r="J82" s="132">
        <f>D82*Factores!F23</f>
        <v>14.57676</v>
      </c>
      <c r="K82" s="132">
        <f>E82*Factores!F23</f>
        <v>12.171840000000001</v>
      </c>
      <c r="L82" s="120"/>
      <c r="M82" s="120"/>
      <c r="N82" s="120"/>
    </row>
    <row r="83" spans="1:14" ht="15" customHeight="1">
      <c r="A83" s="130" t="s">
        <v>560</v>
      </c>
      <c r="B83" s="131">
        <v>220</v>
      </c>
      <c r="C83" s="365">
        <v>16.579999999999998</v>
      </c>
      <c r="D83" s="365">
        <v>14.84</v>
      </c>
      <c r="E83" s="365">
        <v>12.39</v>
      </c>
      <c r="F83" s="138"/>
      <c r="G83" s="130" t="s">
        <v>560</v>
      </c>
      <c r="H83" s="131">
        <v>220</v>
      </c>
      <c r="I83" s="151">
        <f>C83*Factores!F23+PCSPT!E35</f>
        <v>26.624927999999997</v>
      </c>
      <c r="J83" s="132">
        <f>D83*Factores!F23</f>
        <v>14.566943999999999</v>
      </c>
      <c r="K83" s="132">
        <f>E83*Factores!F23</f>
        <v>12.162024000000001</v>
      </c>
      <c r="L83" s="120"/>
      <c r="M83" s="120"/>
      <c r="N83" s="120"/>
    </row>
    <row r="84" spans="1:14" ht="15" customHeight="1">
      <c r="A84" s="130" t="s">
        <v>561</v>
      </c>
      <c r="B84" s="131">
        <v>138</v>
      </c>
      <c r="C84" s="365">
        <v>16.579999999999998</v>
      </c>
      <c r="D84" s="365">
        <v>14.89</v>
      </c>
      <c r="E84" s="365">
        <v>12.43</v>
      </c>
      <c r="F84" s="138"/>
      <c r="G84" s="130" t="s">
        <v>561</v>
      </c>
      <c r="H84" s="131">
        <v>138</v>
      </c>
      <c r="I84" s="151">
        <f>C84*Factores!F23+PCSPT!E35</f>
        <v>26.624927999999997</v>
      </c>
      <c r="J84" s="132">
        <f>D84*Factores!F23</f>
        <v>14.616024000000001</v>
      </c>
      <c r="K84" s="132">
        <f>E84*Factores!F23</f>
        <v>12.201288</v>
      </c>
      <c r="L84" s="120"/>
      <c r="M84" s="120"/>
      <c r="N84" s="120"/>
    </row>
    <row r="85" spans="1:14" ht="15" customHeight="1">
      <c r="A85" s="130" t="s">
        <v>562</v>
      </c>
      <c r="B85" s="131">
        <v>138</v>
      </c>
      <c r="C85" s="365">
        <v>16.579999999999998</v>
      </c>
      <c r="D85" s="365">
        <v>14.940000000000001</v>
      </c>
      <c r="E85" s="365">
        <v>12.450000000000001</v>
      </c>
      <c r="F85" s="138"/>
      <c r="G85" s="130" t="s">
        <v>562</v>
      </c>
      <c r="H85" s="131">
        <v>138</v>
      </c>
      <c r="I85" s="151">
        <f>C85*Factores!F23+PCSPT!E35</f>
        <v>26.624927999999997</v>
      </c>
      <c r="J85" s="132">
        <f>D85*Factores!F23</f>
        <v>14.665104000000001</v>
      </c>
      <c r="K85" s="132">
        <f>E85*Factores!F23</f>
        <v>12.220920000000001</v>
      </c>
      <c r="L85" s="120"/>
      <c r="M85" s="120"/>
      <c r="N85" s="120"/>
    </row>
    <row r="86" spans="1:14" ht="15" customHeight="1">
      <c r="A86" s="130" t="s">
        <v>563</v>
      </c>
      <c r="B86" s="131">
        <v>138</v>
      </c>
      <c r="C86" s="365">
        <v>16.579999999999998</v>
      </c>
      <c r="D86" s="365">
        <v>14.99</v>
      </c>
      <c r="E86" s="365">
        <v>12.48</v>
      </c>
      <c r="F86" s="138"/>
      <c r="G86" s="130" t="s">
        <v>563</v>
      </c>
      <c r="H86" s="131">
        <v>138</v>
      </c>
      <c r="I86" s="151">
        <f>C86*Factores!F23+PCSPT!E35</f>
        <v>26.624927999999997</v>
      </c>
      <c r="J86" s="132">
        <f>D86*Factores!F23</f>
        <v>14.714184000000001</v>
      </c>
      <c r="K86" s="132">
        <f>E86*Factores!F23</f>
        <v>12.250368</v>
      </c>
      <c r="L86" s="120"/>
      <c r="M86" s="120"/>
      <c r="N86" s="120"/>
    </row>
    <row r="87" spans="1:14" ht="15" customHeight="1">
      <c r="A87" s="130" t="s">
        <v>564</v>
      </c>
      <c r="B87" s="131">
        <v>220</v>
      </c>
      <c r="C87" s="365">
        <v>16.579999999999998</v>
      </c>
      <c r="D87" s="365">
        <v>15.030000000000001</v>
      </c>
      <c r="E87" s="365">
        <v>12.540000000000001</v>
      </c>
      <c r="F87" s="138"/>
      <c r="G87" s="130" t="s">
        <v>564</v>
      </c>
      <c r="H87" s="131">
        <v>220</v>
      </c>
      <c r="I87" s="151">
        <f>C87*Factores!F23+PCSPT!E35</f>
        <v>26.624927999999997</v>
      </c>
      <c r="J87" s="132">
        <f>D87*Factores!F23</f>
        <v>14.753448000000002</v>
      </c>
      <c r="K87" s="132">
        <f>E87*Factores!F23</f>
        <v>12.309264000000001</v>
      </c>
      <c r="L87" s="120"/>
      <c r="M87" s="120"/>
      <c r="N87" s="120"/>
    </row>
    <row r="88" spans="1:14" ht="15" customHeight="1">
      <c r="A88" s="130" t="s">
        <v>564</v>
      </c>
      <c r="B88" s="131">
        <v>138</v>
      </c>
      <c r="C88" s="365">
        <v>16.579999999999998</v>
      </c>
      <c r="D88" s="365">
        <v>15.040000000000001</v>
      </c>
      <c r="E88" s="365">
        <v>12.55</v>
      </c>
      <c r="F88" s="138"/>
      <c r="G88" s="130" t="s">
        <v>564</v>
      </c>
      <c r="H88" s="131">
        <v>138</v>
      </c>
      <c r="I88" s="151">
        <f>C88*Factores!F23+PCSPT!E35</f>
        <v>26.624927999999997</v>
      </c>
      <c r="J88" s="132">
        <f>D88*Factores!F23</f>
        <v>14.763264000000001</v>
      </c>
      <c r="K88" s="132">
        <f>E88*Factores!F23</f>
        <v>12.319080000000001</v>
      </c>
      <c r="L88" s="120"/>
      <c r="M88" s="120"/>
      <c r="N88" s="120"/>
    </row>
    <row r="89" spans="1:14" ht="15" customHeight="1">
      <c r="A89" s="130" t="s">
        <v>565</v>
      </c>
      <c r="B89" s="131">
        <v>138</v>
      </c>
      <c r="C89" s="365">
        <v>16.579999999999998</v>
      </c>
      <c r="D89" s="365">
        <v>15.23</v>
      </c>
      <c r="E89" s="365">
        <v>12.700000000000001</v>
      </c>
      <c r="F89" s="138"/>
      <c r="G89" s="130" t="s">
        <v>565</v>
      </c>
      <c r="H89" s="131">
        <v>138</v>
      </c>
      <c r="I89" s="151">
        <f>C89*Factores!F23+PCSPT!E35</f>
        <v>26.624927999999997</v>
      </c>
      <c r="J89" s="132">
        <f>D89*Factores!F23</f>
        <v>14.949768000000001</v>
      </c>
      <c r="K89" s="132">
        <f>E89*Factores!F23</f>
        <v>12.466320000000001</v>
      </c>
      <c r="L89" s="120"/>
      <c r="M89" s="120"/>
      <c r="N89" s="120"/>
    </row>
    <row r="90" spans="1:14" ht="15" customHeight="1">
      <c r="A90" s="130" t="s">
        <v>566</v>
      </c>
      <c r="B90" s="131">
        <v>138</v>
      </c>
      <c r="C90" s="365">
        <v>16.579999999999998</v>
      </c>
      <c r="D90" s="365">
        <v>15.120000000000001</v>
      </c>
      <c r="E90" s="365">
        <v>12.620000000000001</v>
      </c>
      <c r="F90" s="138"/>
      <c r="G90" s="130" t="s">
        <v>566</v>
      </c>
      <c r="H90" s="131">
        <v>138</v>
      </c>
      <c r="I90" s="151">
        <f>C90*Factores!F23+PCSPT!E35</f>
        <v>26.624927999999997</v>
      </c>
      <c r="J90" s="132">
        <f>D90*Factores!F23</f>
        <v>14.841792000000002</v>
      </c>
      <c r="K90" s="132">
        <f>E90*Factores!F23</f>
        <v>12.387792000000001</v>
      </c>
      <c r="L90" s="120"/>
      <c r="M90" s="120"/>
      <c r="N90" s="120"/>
    </row>
    <row r="91" spans="1:14" ht="15" customHeight="1">
      <c r="A91" s="130" t="s">
        <v>567</v>
      </c>
      <c r="B91" s="131">
        <v>138</v>
      </c>
      <c r="C91" s="365">
        <v>16.579999999999998</v>
      </c>
      <c r="D91" s="365">
        <v>15.16</v>
      </c>
      <c r="E91" s="365">
        <v>12.67</v>
      </c>
      <c r="F91" s="138"/>
      <c r="G91" s="130" t="s">
        <v>567</v>
      </c>
      <c r="H91" s="131">
        <v>138</v>
      </c>
      <c r="I91" s="151">
        <f>C91*Factores!F23+PCSPT!E35</f>
        <v>26.624927999999997</v>
      </c>
      <c r="J91" s="132">
        <f>D91*Factores!F23</f>
        <v>14.881056000000001</v>
      </c>
      <c r="K91" s="132">
        <f>E91*Factores!F23</f>
        <v>12.436872000000001</v>
      </c>
      <c r="L91" s="120"/>
      <c r="M91" s="120"/>
      <c r="N91" s="120"/>
    </row>
    <row r="92" spans="1:14" ht="15" customHeight="1">
      <c r="A92" s="130" t="s">
        <v>568</v>
      </c>
      <c r="B92" s="131">
        <v>138</v>
      </c>
      <c r="C92" s="365">
        <v>16.579999999999998</v>
      </c>
      <c r="D92" s="365">
        <v>15.040000000000001</v>
      </c>
      <c r="E92" s="365">
        <v>12.63</v>
      </c>
      <c r="F92" s="138"/>
      <c r="G92" s="130" t="s">
        <v>568</v>
      </c>
      <c r="H92" s="131">
        <v>138</v>
      </c>
      <c r="I92" s="151">
        <f>C92*Factores!F23+PCSPT!E35</f>
        <v>26.624927999999997</v>
      </c>
      <c r="J92" s="132">
        <f>D92*Factores!F23</f>
        <v>14.763264000000001</v>
      </c>
      <c r="K92" s="132">
        <f>E92*Factores!F23</f>
        <v>12.397608000000002</v>
      </c>
      <c r="L92" s="120"/>
      <c r="M92" s="120"/>
      <c r="N92" s="120"/>
    </row>
    <row r="93" spans="1:14" s="138" customFormat="1" ht="15" customHeight="1">
      <c r="A93" s="155" t="s">
        <v>568</v>
      </c>
      <c r="B93" s="131">
        <v>66</v>
      </c>
      <c r="C93" s="365">
        <v>16.579999999999998</v>
      </c>
      <c r="D93" s="365">
        <v>14.98</v>
      </c>
      <c r="E93" s="365">
        <v>12.610000000000001</v>
      </c>
      <c r="G93" s="155" t="s">
        <v>568</v>
      </c>
      <c r="H93" s="131">
        <v>66</v>
      </c>
      <c r="I93" s="157">
        <f>C93*Factores!F23+PCSPT!E35</f>
        <v>26.624927999999997</v>
      </c>
      <c r="J93" s="156">
        <f>D93*Factores!F23+CPSEE!E10</f>
        <v>15.099268</v>
      </c>
      <c r="K93" s="156">
        <f>E93*Factores!F23+CPSEE!E10</f>
        <v>12.772876000000002</v>
      </c>
    </row>
    <row r="94" spans="1:14" ht="15" customHeight="1">
      <c r="A94" s="130" t="s">
        <v>569</v>
      </c>
      <c r="B94" s="131">
        <v>220</v>
      </c>
      <c r="C94" s="365">
        <v>16.579999999999998</v>
      </c>
      <c r="D94" s="365">
        <v>15.14</v>
      </c>
      <c r="E94" s="365">
        <v>12.6</v>
      </c>
      <c r="F94" s="138"/>
      <c r="G94" s="130" t="s">
        <v>569</v>
      </c>
      <c r="H94" s="131">
        <v>220</v>
      </c>
      <c r="I94" s="151">
        <f>C94*Factores!F23+PCSPT!E35</f>
        <v>26.624927999999997</v>
      </c>
      <c r="J94" s="132">
        <f>D94*Factores!F23</f>
        <v>14.861424000000001</v>
      </c>
      <c r="K94" s="132">
        <f>E94*Factores!F23</f>
        <v>12.36816</v>
      </c>
      <c r="L94" s="120"/>
      <c r="M94" s="120"/>
      <c r="N94" s="120"/>
    </row>
    <row r="95" spans="1:14" s="138" customFormat="1" ht="15" customHeight="1">
      <c r="A95" s="155" t="s">
        <v>569</v>
      </c>
      <c r="B95" s="131">
        <v>66</v>
      </c>
      <c r="C95" s="365">
        <v>16.579999999999998</v>
      </c>
      <c r="D95" s="365">
        <v>15.25</v>
      </c>
      <c r="E95" s="365">
        <v>12.65</v>
      </c>
      <c r="G95" s="155" t="s">
        <v>569</v>
      </c>
      <c r="H95" s="131">
        <v>66</v>
      </c>
      <c r="I95" s="157">
        <f>C95*Factores!F23+PCSPT!E35</f>
        <v>26.624927999999997</v>
      </c>
      <c r="J95" s="156">
        <f>D95*Factores!F23+CPSEE!E10</f>
        <v>15.3643</v>
      </c>
      <c r="K95" s="156">
        <f>E95*Factores!F23+CPSEE!E10</f>
        <v>12.812140000000001</v>
      </c>
    </row>
    <row r="96" spans="1:14" ht="15" customHeight="1">
      <c r="A96" s="141" t="s">
        <v>571</v>
      </c>
      <c r="B96" s="142">
        <v>220</v>
      </c>
      <c r="C96" s="366">
        <v>16.579999999999998</v>
      </c>
      <c r="D96" s="366">
        <v>14.82</v>
      </c>
      <c r="E96" s="366">
        <v>12.48</v>
      </c>
      <c r="F96" s="138"/>
      <c r="G96" s="141" t="s">
        <v>571</v>
      </c>
      <c r="H96" s="142">
        <v>220</v>
      </c>
      <c r="I96" s="164">
        <f>C96*Factores!F23+PCSPT!E35</f>
        <v>26.624927999999997</v>
      </c>
      <c r="J96" s="144">
        <f>D96*Factores!F23</f>
        <v>14.547312000000002</v>
      </c>
      <c r="K96" s="144">
        <f>E96*Factores!F23</f>
        <v>12.250368</v>
      </c>
      <c r="L96" s="120"/>
      <c r="M96" s="120"/>
      <c r="N96" s="120"/>
    </row>
    <row r="97" spans="1:14">
      <c r="F97" s="138"/>
      <c r="L97" s="120"/>
      <c r="M97" s="120"/>
      <c r="N97" s="120"/>
    </row>
    <row r="98" spans="1:14" ht="21.75" customHeight="1" thickBot="1">
      <c r="A98" s="153" t="s">
        <v>731</v>
      </c>
      <c r="B98" s="153"/>
      <c r="C98" s="153"/>
      <c r="D98" s="153"/>
      <c r="E98" s="153"/>
      <c r="G98" s="119" t="s">
        <v>618</v>
      </c>
      <c r="I98" s="120"/>
      <c r="J98" s="120"/>
      <c r="K98" s="120"/>
      <c r="L98" s="120"/>
      <c r="M98" s="120"/>
      <c r="N98" s="120"/>
    </row>
    <row r="99" spans="1:14">
      <c r="A99" s="168"/>
      <c r="B99" s="169"/>
      <c r="C99" s="173"/>
      <c r="D99" s="173"/>
      <c r="E99" s="170"/>
      <c r="I99" s="120"/>
      <c r="J99" s="120"/>
      <c r="K99" s="120"/>
      <c r="L99" s="120"/>
      <c r="M99" s="120"/>
      <c r="N99" s="120"/>
    </row>
    <row r="100" spans="1:14">
      <c r="A100" s="171"/>
      <c r="B100" s="158" t="s">
        <v>614</v>
      </c>
      <c r="D100" s="158" t="s">
        <v>588</v>
      </c>
      <c r="E100" s="163">
        <f>Factores!F23</f>
        <v>0.98160000000000003</v>
      </c>
      <c r="I100" s="120"/>
      <c r="J100" s="120"/>
      <c r="K100" s="120"/>
      <c r="L100" s="120"/>
      <c r="M100" s="120"/>
      <c r="N100" s="120"/>
    </row>
    <row r="101" spans="1:14">
      <c r="A101" s="171"/>
      <c r="B101" s="158" t="s">
        <v>610</v>
      </c>
      <c r="D101" s="158" t="s">
        <v>602</v>
      </c>
      <c r="E101" s="174">
        <f>PCSPT!E35</f>
        <v>10.349999999999998</v>
      </c>
      <c r="F101" s="138"/>
      <c r="I101" s="120"/>
      <c r="J101" s="120"/>
      <c r="K101" s="120"/>
      <c r="L101" s="120"/>
      <c r="M101" s="120"/>
      <c r="N101" s="120"/>
    </row>
    <row r="102" spans="1:14">
      <c r="A102" s="171"/>
      <c r="B102" s="158" t="s">
        <v>612</v>
      </c>
      <c r="D102" s="160" t="s">
        <v>611</v>
      </c>
      <c r="E102" s="163">
        <f>CPSEE!E11</f>
        <v>1.4193</v>
      </c>
      <c r="I102" s="120"/>
      <c r="J102" s="120"/>
      <c r="K102" s="120"/>
      <c r="L102" s="120"/>
      <c r="M102" s="120"/>
      <c r="N102" s="120"/>
    </row>
    <row r="103" spans="1:14">
      <c r="A103" s="171"/>
      <c r="B103" s="158" t="s">
        <v>613</v>
      </c>
      <c r="D103" s="160" t="s">
        <v>611</v>
      </c>
      <c r="E103" s="163">
        <f>CPSEE!E10</f>
        <v>0.39489999999999997</v>
      </c>
      <c r="I103" s="120"/>
      <c r="J103" s="120"/>
      <c r="K103" s="120"/>
      <c r="L103" s="120"/>
      <c r="M103" s="120"/>
      <c r="N103" s="120"/>
    </row>
    <row r="104" spans="1:14" ht="15.75" thickBot="1">
      <c r="A104" s="165"/>
      <c r="B104" s="154"/>
      <c r="C104" s="166"/>
      <c r="D104" s="166"/>
      <c r="E104" s="167"/>
      <c r="I104" s="120"/>
      <c r="J104" s="120"/>
      <c r="K104" s="120"/>
      <c r="L104" s="120"/>
      <c r="M104" s="120"/>
      <c r="N104" s="120"/>
    </row>
  </sheetData>
  <mergeCells count="3">
    <mergeCell ref="A1:K1"/>
    <mergeCell ref="A3:E3"/>
    <mergeCell ref="G3:K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9"/>
  <sheetViews>
    <sheetView showGridLines="0" zoomScaleNormal="100" zoomScaleSheetLayoutView="85" workbookViewId="0"/>
  </sheetViews>
  <sheetFormatPr baseColWidth="10" defaultColWidth="7.21875" defaultRowHeight="18"/>
  <cols>
    <col min="1" max="1" width="61.21875" style="761" bestFit="1" customWidth="1"/>
    <col min="2" max="2" width="7.88671875" style="761" bestFit="1" customWidth="1"/>
    <col min="3" max="7" width="7.88671875" style="767" bestFit="1" customWidth="1"/>
    <col min="8" max="15" width="7.88671875" style="761" bestFit="1" customWidth="1"/>
    <col min="16" max="16" width="6.6640625" style="761" customWidth="1"/>
    <col min="17" max="20" width="7.88671875" style="761" bestFit="1" customWidth="1"/>
    <col min="21" max="21" width="7.21875" style="761"/>
    <col min="22" max="22" width="8.6640625" style="761" bestFit="1" customWidth="1"/>
    <col min="23" max="25" width="7.88671875" style="761" bestFit="1" customWidth="1"/>
    <col min="26" max="16384" width="7.21875" style="249"/>
  </cols>
  <sheetData>
    <row r="1" spans="1:25" s="250" customFormat="1" ht="26.25">
      <c r="A1" s="358" t="s">
        <v>720</v>
      </c>
      <c r="B1" s="756"/>
      <c r="C1" s="756"/>
      <c r="D1" s="756"/>
      <c r="E1" s="757"/>
      <c r="F1" s="757"/>
      <c r="G1" s="757"/>
      <c r="H1" s="757"/>
      <c r="I1" s="757"/>
      <c r="J1" s="757"/>
      <c r="K1" s="757"/>
      <c r="L1" s="757"/>
      <c r="M1" s="757"/>
      <c r="N1" s="757"/>
      <c r="O1" s="756"/>
      <c r="P1" s="758"/>
      <c r="Q1" s="758"/>
      <c r="R1" s="758"/>
      <c r="S1" s="758"/>
      <c r="T1" s="758"/>
      <c r="U1" s="758"/>
      <c r="V1" s="758"/>
      <c r="W1" s="758"/>
      <c r="X1" s="758"/>
      <c r="Y1" s="758"/>
    </row>
    <row r="2" spans="1:25" s="250" customFormat="1">
      <c r="A2" s="770"/>
      <c r="B2" s="759"/>
      <c r="C2" s="759"/>
      <c r="D2" s="759"/>
      <c r="E2" s="759"/>
      <c r="F2" s="759"/>
      <c r="G2" s="759"/>
      <c r="H2" s="759"/>
      <c r="I2" s="759"/>
      <c r="J2" s="760"/>
      <c r="K2" s="760"/>
      <c r="L2" s="760"/>
      <c r="M2" s="760"/>
      <c r="N2" s="760"/>
      <c r="O2" s="760"/>
      <c r="P2" s="760"/>
      <c r="Q2" s="760" t="s">
        <v>668</v>
      </c>
      <c r="R2" s="760"/>
      <c r="S2" s="760"/>
      <c r="T2" s="760"/>
      <c r="U2" s="760"/>
      <c r="V2" s="760" t="s">
        <v>268</v>
      </c>
      <c r="W2" s="760"/>
      <c r="X2" s="760"/>
      <c r="Y2" s="760"/>
    </row>
    <row r="3" spans="1:25" s="250" customFormat="1">
      <c r="A3" s="770"/>
      <c r="B3" s="759"/>
      <c r="C3" s="759"/>
      <c r="D3" s="759"/>
      <c r="E3" s="759"/>
      <c r="F3" s="759"/>
      <c r="G3" s="759"/>
      <c r="H3" s="759"/>
      <c r="I3" s="759"/>
      <c r="J3" s="760"/>
      <c r="K3" s="760"/>
      <c r="L3" s="760"/>
      <c r="M3" s="760"/>
      <c r="N3" s="760"/>
      <c r="O3" s="760"/>
      <c r="P3" s="760"/>
      <c r="Q3" s="760"/>
      <c r="R3" s="760"/>
      <c r="S3" s="760"/>
      <c r="T3" s="760"/>
      <c r="U3" s="760"/>
      <c r="V3" s="760"/>
      <c r="W3" s="760"/>
      <c r="X3" s="760"/>
      <c r="Y3" s="760"/>
    </row>
    <row r="4" spans="1:25" s="250" customFormat="1">
      <c r="A4" s="770"/>
      <c r="B4" s="759"/>
      <c r="C4" s="759"/>
      <c r="D4" s="759"/>
      <c r="E4" s="759"/>
      <c r="F4" s="759"/>
      <c r="G4" s="759"/>
      <c r="H4" s="759"/>
      <c r="I4" s="759"/>
      <c r="J4" s="760"/>
      <c r="K4" s="760"/>
      <c r="L4" s="760"/>
      <c r="M4" s="760"/>
      <c r="N4" s="760"/>
      <c r="O4" s="760"/>
      <c r="P4" s="760"/>
      <c r="Q4" s="760"/>
      <c r="R4" s="760"/>
      <c r="S4" s="760"/>
      <c r="T4" s="760"/>
      <c r="U4" s="760"/>
      <c r="V4" s="760"/>
      <c r="W4" s="760"/>
      <c r="X4" s="760"/>
      <c r="Y4" s="760"/>
    </row>
    <row r="5" spans="1:25">
      <c r="A5" s="771" t="s">
        <v>9</v>
      </c>
      <c r="B5" s="772">
        <v>40912</v>
      </c>
      <c r="C5" s="772">
        <v>40943</v>
      </c>
      <c r="D5" s="773">
        <v>40972</v>
      </c>
      <c r="E5" s="773">
        <v>41003</v>
      </c>
      <c r="F5" s="773">
        <v>41030</v>
      </c>
      <c r="G5" s="773">
        <v>41033</v>
      </c>
      <c r="H5" s="773">
        <v>41064</v>
      </c>
      <c r="I5" s="773">
        <v>41094</v>
      </c>
      <c r="J5" s="773">
        <v>41125</v>
      </c>
      <c r="K5" s="773">
        <v>41156</v>
      </c>
      <c r="L5" s="773">
        <v>41186</v>
      </c>
      <c r="M5" s="773">
        <v>41214</v>
      </c>
      <c r="N5" s="773">
        <v>41217</v>
      </c>
      <c r="O5" s="773">
        <v>41247</v>
      </c>
      <c r="Q5" s="773">
        <v>41156</v>
      </c>
      <c r="R5" s="773">
        <v>41186</v>
      </c>
      <c r="S5" s="773">
        <v>41214</v>
      </c>
      <c r="T5" s="773">
        <v>41217</v>
      </c>
      <c r="V5" s="773">
        <v>41156</v>
      </c>
      <c r="W5" s="773">
        <v>41186</v>
      </c>
      <c r="X5" s="773">
        <v>41214</v>
      </c>
      <c r="Y5" s="773">
        <v>41217</v>
      </c>
    </row>
    <row r="6" spans="1:25">
      <c r="A6" s="774" t="s">
        <v>728</v>
      </c>
      <c r="B6" s="762" t="s">
        <v>224</v>
      </c>
      <c r="C6" s="762" t="s">
        <v>224</v>
      </c>
      <c r="D6" s="763" t="s">
        <v>224</v>
      </c>
      <c r="E6" s="740" t="s">
        <v>224</v>
      </c>
      <c r="F6" s="740" t="s">
        <v>224</v>
      </c>
      <c r="G6" s="740" t="s">
        <v>224</v>
      </c>
      <c r="H6" s="740" t="s">
        <v>224</v>
      </c>
      <c r="I6" s="740" t="s">
        <v>224</v>
      </c>
      <c r="J6" s="740" t="s">
        <v>224</v>
      </c>
      <c r="K6" s="740" t="s">
        <v>224</v>
      </c>
      <c r="L6" s="740" t="s">
        <v>224</v>
      </c>
      <c r="M6" s="740" t="s">
        <v>224</v>
      </c>
      <c r="N6" s="740" t="s">
        <v>224</v>
      </c>
      <c r="O6" s="740" t="str">
        <f>+Factores!F6</f>
        <v/>
      </c>
      <c r="Q6" s="740" t="s">
        <v>224</v>
      </c>
      <c r="R6" s="740" t="s">
        <v>224</v>
      </c>
      <c r="S6" s="740" t="s">
        <v>224</v>
      </c>
      <c r="T6" s="740" t="s">
        <v>224</v>
      </c>
      <c r="V6" s="740" t="s">
        <v>224</v>
      </c>
      <c r="W6" s="740" t="s">
        <v>224</v>
      </c>
      <c r="X6" s="740" t="s">
        <v>224</v>
      </c>
      <c r="Y6" s="740" t="s">
        <v>224</v>
      </c>
    </row>
    <row r="7" spans="1:25">
      <c r="A7" s="775" t="s">
        <v>28</v>
      </c>
      <c r="B7" s="764" t="s">
        <v>224</v>
      </c>
      <c r="C7" s="764" t="s">
        <v>224</v>
      </c>
      <c r="D7" s="765" t="s">
        <v>224</v>
      </c>
      <c r="E7" s="735" t="s">
        <v>224</v>
      </c>
      <c r="F7" s="735" t="s">
        <v>224</v>
      </c>
      <c r="G7" s="735" t="s">
        <v>224</v>
      </c>
      <c r="H7" s="735" t="s">
        <v>224</v>
      </c>
      <c r="I7" s="735" t="s">
        <v>224</v>
      </c>
      <c r="J7" s="735" t="s">
        <v>224</v>
      </c>
      <c r="K7" s="735" t="s">
        <v>224</v>
      </c>
      <c r="L7" s="735" t="s">
        <v>224</v>
      </c>
      <c r="M7" s="735" t="s">
        <v>224</v>
      </c>
      <c r="N7" s="735" t="s">
        <v>224</v>
      </c>
      <c r="O7" s="735" t="str">
        <f>+Factores!F7</f>
        <v/>
      </c>
      <c r="Q7" s="735" t="s">
        <v>224</v>
      </c>
      <c r="R7" s="735" t="s">
        <v>224</v>
      </c>
      <c r="S7" s="735" t="s">
        <v>224</v>
      </c>
      <c r="T7" s="735" t="s">
        <v>224</v>
      </c>
      <c r="V7" s="735" t="s">
        <v>224</v>
      </c>
      <c r="W7" s="735" t="s">
        <v>224</v>
      </c>
      <c r="X7" s="735" t="s">
        <v>224</v>
      </c>
      <c r="Y7" s="735" t="s">
        <v>224</v>
      </c>
    </row>
    <row r="8" spans="1:25">
      <c r="A8" s="776" t="s">
        <v>721</v>
      </c>
      <c r="B8" s="732">
        <v>1.0069999999999999</v>
      </c>
      <c r="C8" s="732">
        <v>1.0069999999999999</v>
      </c>
      <c r="D8" s="733">
        <v>0.97330000000000005</v>
      </c>
      <c r="E8" s="734">
        <v>0.97330000000000005</v>
      </c>
      <c r="F8" s="734">
        <v>1</v>
      </c>
      <c r="G8" s="734">
        <v>0.99260000000000004</v>
      </c>
      <c r="H8" s="734">
        <v>0.99260000000000004</v>
      </c>
      <c r="I8" s="734">
        <v>0.99260000000000004</v>
      </c>
      <c r="J8" s="734">
        <v>0.99260000000000004</v>
      </c>
      <c r="K8" s="734">
        <v>0.99260000000000004</v>
      </c>
      <c r="L8" s="734">
        <v>0.9788</v>
      </c>
      <c r="M8" s="734">
        <v>0.9788</v>
      </c>
      <c r="N8" s="734">
        <v>0.97719999999999996</v>
      </c>
      <c r="O8" s="734">
        <f>+Factores!F8</f>
        <v>0.97719999999999996</v>
      </c>
      <c r="Q8" s="734">
        <v>0.99260000000000004</v>
      </c>
      <c r="R8" s="734">
        <v>0.9788</v>
      </c>
      <c r="S8" s="734">
        <v>0.9788</v>
      </c>
      <c r="T8" s="734">
        <v>0.97719999999999996</v>
      </c>
      <c r="V8" s="735">
        <f t="shared" ref="V8:V40" si="0">IF(ISERR(K8-Q8),"",K8-Q8)</f>
        <v>0</v>
      </c>
      <c r="W8" s="735">
        <f t="shared" ref="W8:W40" si="1">IF(ISERR(L8-R8),"",L8-R8)</f>
        <v>0</v>
      </c>
      <c r="X8" s="735">
        <f t="shared" ref="X8:X40" si="2">IF(ISERR(M8-S8),"",M8-S8)</f>
        <v>0</v>
      </c>
      <c r="Y8" s="735">
        <f t="shared" ref="Y8:Y40" si="3">IF(ISERR(N8-T8),"",N8-T8)</f>
        <v>0</v>
      </c>
    </row>
    <row r="9" spans="1:25">
      <c r="A9" s="775" t="s">
        <v>29</v>
      </c>
      <c r="B9" s="736" t="s">
        <v>224</v>
      </c>
      <c r="C9" s="736" t="s">
        <v>224</v>
      </c>
      <c r="D9" s="737" t="s">
        <v>224</v>
      </c>
      <c r="E9" s="734" t="s">
        <v>224</v>
      </c>
      <c r="F9" s="734" t="s">
        <v>224</v>
      </c>
      <c r="G9" s="734" t="s">
        <v>224</v>
      </c>
      <c r="H9" s="734" t="s">
        <v>224</v>
      </c>
      <c r="I9" s="734" t="s">
        <v>224</v>
      </c>
      <c r="J9" s="734" t="s">
        <v>224</v>
      </c>
      <c r="K9" s="734" t="s">
        <v>224</v>
      </c>
      <c r="L9" s="734" t="s">
        <v>224</v>
      </c>
      <c r="M9" s="734" t="s">
        <v>224</v>
      </c>
      <c r="N9" s="734" t="s">
        <v>224</v>
      </c>
      <c r="O9" s="734" t="str">
        <f>+Factores!F9</f>
        <v/>
      </c>
      <c r="Q9" s="734" t="s">
        <v>224</v>
      </c>
      <c r="R9" s="734" t="s">
        <v>224</v>
      </c>
      <c r="S9" s="734" t="s">
        <v>224</v>
      </c>
      <c r="T9" s="734" t="s">
        <v>224</v>
      </c>
      <c r="V9" s="735" t="str">
        <f t="shared" si="0"/>
        <v/>
      </c>
      <c r="W9" s="735" t="str">
        <f t="shared" si="1"/>
        <v/>
      </c>
      <c r="X9" s="735" t="str">
        <f t="shared" si="2"/>
        <v/>
      </c>
      <c r="Y9" s="735" t="str">
        <f t="shared" si="3"/>
        <v/>
      </c>
    </row>
    <row r="10" spans="1:25">
      <c r="A10" s="776" t="s">
        <v>721</v>
      </c>
      <c r="B10" s="732">
        <v>1.0077</v>
      </c>
      <c r="C10" s="732">
        <v>1.0077</v>
      </c>
      <c r="D10" s="733">
        <v>0.98199999999999998</v>
      </c>
      <c r="E10" s="734">
        <v>0.98199999999999998</v>
      </c>
      <c r="F10" s="734">
        <v>1</v>
      </c>
      <c r="G10" s="734">
        <v>0.98699999999999999</v>
      </c>
      <c r="H10" s="734">
        <v>0.98699999999999999</v>
      </c>
      <c r="I10" s="734">
        <v>0.98699999999999999</v>
      </c>
      <c r="J10" s="734">
        <v>0.98699999999999999</v>
      </c>
      <c r="K10" s="734">
        <v>0.98699999999999999</v>
      </c>
      <c r="L10" s="734">
        <v>0.9869</v>
      </c>
      <c r="M10" s="734">
        <v>0.9869</v>
      </c>
      <c r="N10" s="734">
        <v>0.98360000000000003</v>
      </c>
      <c r="O10" s="734">
        <f>+Factores!F10</f>
        <v>0.98360000000000003</v>
      </c>
      <c r="Q10" s="734">
        <v>0.98699999999999999</v>
      </c>
      <c r="R10" s="734">
        <v>0.9869</v>
      </c>
      <c r="S10" s="734">
        <v>0.9869</v>
      </c>
      <c r="T10" s="734">
        <v>0.98360000000000003</v>
      </c>
      <c r="V10" s="735">
        <f t="shared" si="0"/>
        <v>0</v>
      </c>
      <c r="W10" s="735">
        <f t="shared" si="1"/>
        <v>0</v>
      </c>
      <c r="X10" s="735">
        <f t="shared" si="2"/>
        <v>0</v>
      </c>
      <c r="Y10" s="735">
        <f t="shared" si="3"/>
        <v>0</v>
      </c>
    </row>
    <row r="11" spans="1:25">
      <c r="A11" s="777" t="s">
        <v>722</v>
      </c>
      <c r="B11" s="736" t="s">
        <v>224</v>
      </c>
      <c r="C11" s="736" t="s">
        <v>224</v>
      </c>
      <c r="D11" s="737" t="s">
        <v>224</v>
      </c>
      <c r="E11" s="734" t="s">
        <v>224</v>
      </c>
      <c r="F11" s="734" t="s">
        <v>224</v>
      </c>
      <c r="G11" s="734" t="s">
        <v>224</v>
      </c>
      <c r="H11" s="734" t="s">
        <v>224</v>
      </c>
      <c r="I11" s="734" t="s">
        <v>224</v>
      </c>
      <c r="J11" s="734" t="s">
        <v>224</v>
      </c>
      <c r="K11" s="734" t="s">
        <v>224</v>
      </c>
      <c r="L11" s="734" t="s">
        <v>224</v>
      </c>
      <c r="M11" s="734" t="s">
        <v>224</v>
      </c>
      <c r="N11" s="734" t="s">
        <v>224</v>
      </c>
      <c r="O11" s="734" t="str">
        <f>+Factores!F11</f>
        <v/>
      </c>
      <c r="Q11" s="734" t="s">
        <v>224</v>
      </c>
      <c r="R11" s="734" t="s">
        <v>224</v>
      </c>
      <c r="S11" s="734" t="s">
        <v>224</v>
      </c>
      <c r="T11" s="734" t="s">
        <v>224</v>
      </c>
      <c r="V11" s="735" t="str">
        <f t="shared" ref="V11" si="4">IF(ISERR(K11-Q11),"",K11-Q11)</f>
        <v/>
      </c>
      <c r="W11" s="735" t="str">
        <f t="shared" ref="W11" si="5">IF(ISERR(L11-R11),"",L11-R11)</f>
        <v/>
      </c>
      <c r="X11" s="735" t="str">
        <f t="shared" ref="X11" si="6">IF(ISERR(M11-S11),"",M11-S11)</f>
        <v/>
      </c>
      <c r="Y11" s="735" t="str">
        <f t="shared" ref="Y11" si="7">IF(ISERR(N11-T11),"",N11-T11)</f>
        <v/>
      </c>
    </row>
    <row r="12" spans="1:25">
      <c r="A12" s="776" t="s">
        <v>31</v>
      </c>
      <c r="B12" s="732">
        <v>1.0162</v>
      </c>
      <c r="C12" s="732">
        <v>1.0162</v>
      </c>
      <c r="D12" s="733">
        <v>1.0162</v>
      </c>
      <c r="E12" s="734">
        <v>1.0162</v>
      </c>
      <c r="F12" s="734">
        <v>1</v>
      </c>
      <c r="G12" s="734">
        <v>0.99939999999999996</v>
      </c>
      <c r="H12" s="734">
        <v>0.99939999999999996</v>
      </c>
      <c r="I12" s="734">
        <v>0.99780000000000002</v>
      </c>
      <c r="J12" s="734">
        <v>0.99780000000000002</v>
      </c>
      <c r="K12" s="734">
        <v>0.98909999999999998</v>
      </c>
      <c r="L12" s="734">
        <v>0.98909999999999998</v>
      </c>
      <c r="M12" s="734">
        <v>0.98909999999999998</v>
      </c>
      <c r="N12" s="734">
        <v>0.99150000000000005</v>
      </c>
      <c r="O12" s="734">
        <f>+Factores!F12</f>
        <v>0.99150000000000005</v>
      </c>
      <c r="Q12" s="734">
        <v>0.98909999999999998</v>
      </c>
      <c r="R12" s="734">
        <v>0.98909999999999998</v>
      </c>
      <c r="S12" s="734">
        <v>0.98909999999999998</v>
      </c>
      <c r="T12" s="734">
        <v>0.99150000000000005</v>
      </c>
      <c r="V12" s="735">
        <f t="shared" si="0"/>
        <v>0</v>
      </c>
      <c r="W12" s="735">
        <f t="shared" si="1"/>
        <v>0</v>
      </c>
      <c r="X12" s="735">
        <f t="shared" si="2"/>
        <v>0</v>
      </c>
      <c r="Y12" s="735">
        <f t="shared" si="3"/>
        <v>0</v>
      </c>
    </row>
    <row r="13" spans="1:25">
      <c r="A13" s="776" t="s">
        <v>32</v>
      </c>
      <c r="B13" s="732">
        <v>1.0162</v>
      </c>
      <c r="C13" s="732">
        <v>1.0162</v>
      </c>
      <c r="D13" s="733">
        <v>1.0162</v>
      </c>
      <c r="E13" s="734">
        <v>1.0162</v>
      </c>
      <c r="F13" s="734">
        <v>1</v>
      </c>
      <c r="G13" s="734">
        <v>0.99939999999999996</v>
      </c>
      <c r="H13" s="734">
        <v>0.99939999999999996</v>
      </c>
      <c r="I13" s="734">
        <v>0.99780000000000002</v>
      </c>
      <c r="J13" s="734">
        <v>0.99780000000000002</v>
      </c>
      <c r="K13" s="734">
        <v>0.98909999999999998</v>
      </c>
      <c r="L13" s="734">
        <v>0.98909999999999998</v>
      </c>
      <c r="M13" s="734">
        <v>0.98909999999999998</v>
      </c>
      <c r="N13" s="734">
        <v>0.99150000000000005</v>
      </c>
      <c r="O13" s="734">
        <f>+Factores!F13</f>
        <v>0.99150000000000005</v>
      </c>
      <c r="Q13" s="734">
        <v>0.98909999999999998</v>
      </c>
      <c r="R13" s="734">
        <v>0.98909999999999998</v>
      </c>
      <c r="S13" s="734">
        <v>0.98909999999999998</v>
      </c>
      <c r="T13" s="734">
        <v>0.99150000000000005</v>
      </c>
      <c r="V13" s="735">
        <f t="shared" si="0"/>
        <v>0</v>
      </c>
      <c r="W13" s="735">
        <f t="shared" si="1"/>
        <v>0</v>
      </c>
      <c r="X13" s="735">
        <f t="shared" si="2"/>
        <v>0</v>
      </c>
      <c r="Y13" s="735">
        <f t="shared" si="3"/>
        <v>0</v>
      </c>
    </row>
    <row r="14" spans="1:25">
      <c r="A14" s="776" t="s">
        <v>12</v>
      </c>
      <c r="B14" s="732">
        <v>1.0162</v>
      </c>
      <c r="C14" s="732">
        <v>1.0162</v>
      </c>
      <c r="D14" s="733">
        <v>1.0162</v>
      </c>
      <c r="E14" s="734">
        <v>1.0162</v>
      </c>
      <c r="F14" s="734">
        <v>1</v>
      </c>
      <c r="G14" s="734">
        <v>0.99939999999999996</v>
      </c>
      <c r="H14" s="734">
        <v>0.99939999999999996</v>
      </c>
      <c r="I14" s="734">
        <v>0.99780000000000002</v>
      </c>
      <c r="J14" s="734">
        <v>0.99780000000000002</v>
      </c>
      <c r="K14" s="734">
        <v>0.98909999999999998</v>
      </c>
      <c r="L14" s="734">
        <v>0.98909999999999998</v>
      </c>
      <c r="M14" s="734">
        <v>0.98909999999999998</v>
      </c>
      <c r="N14" s="734">
        <v>0.99150000000000005</v>
      </c>
      <c r="O14" s="734">
        <f>+Factores!F14</f>
        <v>0.99150000000000005</v>
      </c>
      <c r="Q14" s="734">
        <v>0.98909999999999998</v>
      </c>
      <c r="R14" s="734">
        <v>0.98909999999999998</v>
      </c>
      <c r="S14" s="734">
        <v>0.98909999999999998</v>
      </c>
      <c r="T14" s="734">
        <v>0.99150000000000005</v>
      </c>
      <c r="V14" s="735">
        <f t="shared" si="0"/>
        <v>0</v>
      </c>
      <c r="W14" s="735">
        <f t="shared" si="1"/>
        <v>0</v>
      </c>
      <c r="X14" s="735">
        <f t="shared" si="2"/>
        <v>0</v>
      </c>
      <c r="Y14" s="735">
        <f t="shared" si="3"/>
        <v>0</v>
      </c>
    </row>
    <row r="15" spans="1:25">
      <c r="A15" s="778" t="s">
        <v>372</v>
      </c>
      <c r="B15" s="732">
        <v>0</v>
      </c>
      <c r="C15" s="732">
        <v>0</v>
      </c>
      <c r="D15" s="733">
        <v>0</v>
      </c>
      <c r="E15" s="734">
        <v>0</v>
      </c>
      <c r="F15" s="734">
        <v>1</v>
      </c>
      <c r="G15" s="734">
        <v>0.99939999999999996</v>
      </c>
      <c r="H15" s="734">
        <v>0.99939999999999996</v>
      </c>
      <c r="I15" s="734">
        <v>0.99780000000000002</v>
      </c>
      <c r="J15" s="734">
        <v>0.99780000000000002</v>
      </c>
      <c r="K15" s="734">
        <v>0.98909999999999998</v>
      </c>
      <c r="L15" s="734">
        <v>0.98909999999999998</v>
      </c>
      <c r="M15" s="734">
        <v>0.98909999999999998</v>
      </c>
      <c r="N15" s="734">
        <v>0.99150000000000005</v>
      </c>
      <c r="O15" s="734">
        <f>+Factores!F15</f>
        <v>0.99150000000000005</v>
      </c>
      <c r="Q15" s="734">
        <v>0.98909999999999998</v>
      </c>
      <c r="R15" s="734">
        <v>0.98909999999999998</v>
      </c>
      <c r="S15" s="734">
        <v>0.98909999999999998</v>
      </c>
      <c r="T15" s="734">
        <v>0.99150000000000005</v>
      </c>
      <c r="V15" s="735">
        <f t="shared" si="0"/>
        <v>0</v>
      </c>
      <c r="W15" s="735">
        <f t="shared" si="1"/>
        <v>0</v>
      </c>
      <c r="X15" s="735">
        <f t="shared" si="2"/>
        <v>0</v>
      </c>
      <c r="Y15" s="735">
        <f t="shared" si="3"/>
        <v>0</v>
      </c>
    </row>
    <row r="16" spans="1:25">
      <c r="A16" s="776" t="s">
        <v>33</v>
      </c>
      <c r="B16" s="732">
        <v>1.0820000000000001</v>
      </c>
      <c r="C16" s="732">
        <v>1.0820000000000001</v>
      </c>
      <c r="D16" s="733">
        <v>1.0820000000000001</v>
      </c>
      <c r="E16" s="734">
        <v>1.0820000000000001</v>
      </c>
      <c r="F16" s="734">
        <v>1</v>
      </c>
      <c r="G16" s="734">
        <v>1.0251999999999999</v>
      </c>
      <c r="H16" s="734">
        <v>1.0251999999999999</v>
      </c>
      <c r="I16" s="734">
        <v>0.99790000000000001</v>
      </c>
      <c r="J16" s="734">
        <v>0.99790000000000001</v>
      </c>
      <c r="K16" s="734">
        <v>0.99929999999999997</v>
      </c>
      <c r="L16" s="734">
        <v>0.99929999999999997</v>
      </c>
      <c r="M16" s="734">
        <v>0.99929999999999997</v>
      </c>
      <c r="N16" s="734">
        <v>0.97189999999999999</v>
      </c>
      <c r="O16" s="734">
        <f>+Factores!F16</f>
        <v>0.97189999999999999</v>
      </c>
      <c r="Q16" s="734">
        <v>0.99929999999999997</v>
      </c>
      <c r="R16" s="734">
        <v>0.99929999999999997</v>
      </c>
      <c r="S16" s="734">
        <v>0.99929999999999997</v>
      </c>
      <c r="T16" s="734">
        <v>0.97189999999999999</v>
      </c>
      <c r="V16" s="735">
        <f t="shared" si="0"/>
        <v>0</v>
      </c>
      <c r="W16" s="735">
        <f t="shared" si="1"/>
        <v>0</v>
      </c>
      <c r="X16" s="735">
        <f t="shared" si="2"/>
        <v>0</v>
      </c>
      <c r="Y16" s="735">
        <f t="shared" si="3"/>
        <v>0</v>
      </c>
    </row>
    <row r="17" spans="1:25">
      <c r="A17" s="776" t="s">
        <v>34</v>
      </c>
      <c r="B17" s="732">
        <v>1.1009</v>
      </c>
      <c r="C17" s="732">
        <v>1.1009</v>
      </c>
      <c r="D17" s="733">
        <v>1.1009</v>
      </c>
      <c r="E17" s="734">
        <v>1.1009</v>
      </c>
      <c r="F17" s="734">
        <v>1</v>
      </c>
      <c r="G17" s="734">
        <v>1.0139</v>
      </c>
      <c r="H17" s="734">
        <v>1.0139</v>
      </c>
      <c r="I17" s="734">
        <v>0.99980000000000002</v>
      </c>
      <c r="J17" s="734">
        <v>0.99980000000000002</v>
      </c>
      <c r="K17" s="734">
        <v>1.0184</v>
      </c>
      <c r="L17" s="734">
        <v>1.0184</v>
      </c>
      <c r="M17" s="734">
        <v>1.0184</v>
      </c>
      <c r="N17" s="734">
        <v>1.0185</v>
      </c>
      <c r="O17" s="734">
        <f>+Factores!F17</f>
        <v>1.0185</v>
      </c>
      <c r="Q17" s="734">
        <v>1.0184</v>
      </c>
      <c r="R17" s="734">
        <v>1.0184</v>
      </c>
      <c r="S17" s="734">
        <v>1.0184</v>
      </c>
      <c r="T17" s="734">
        <v>1.0185</v>
      </c>
      <c r="V17" s="735">
        <f t="shared" si="0"/>
        <v>0</v>
      </c>
      <c r="W17" s="735">
        <f t="shared" si="1"/>
        <v>0</v>
      </c>
      <c r="X17" s="735">
        <f t="shared" si="2"/>
        <v>0</v>
      </c>
      <c r="Y17" s="735">
        <f t="shared" si="3"/>
        <v>0</v>
      </c>
    </row>
    <row r="18" spans="1:25">
      <c r="A18" s="776" t="s">
        <v>35</v>
      </c>
      <c r="B18" s="732">
        <v>1.0162</v>
      </c>
      <c r="C18" s="732">
        <v>1.0162</v>
      </c>
      <c r="D18" s="733">
        <v>1.0162</v>
      </c>
      <c r="E18" s="734">
        <v>1.0162</v>
      </c>
      <c r="F18" s="734">
        <v>1</v>
      </c>
      <c r="G18" s="734">
        <v>0.99939999999999996</v>
      </c>
      <c r="H18" s="734">
        <v>0.99939999999999996</v>
      </c>
      <c r="I18" s="734">
        <v>0.99780000000000002</v>
      </c>
      <c r="J18" s="734">
        <v>0.99780000000000002</v>
      </c>
      <c r="K18" s="734">
        <v>0.98909999999999998</v>
      </c>
      <c r="L18" s="734">
        <v>0.98909999999999998</v>
      </c>
      <c r="M18" s="734">
        <v>0.98909999999999998</v>
      </c>
      <c r="N18" s="734">
        <v>0.99150000000000005</v>
      </c>
      <c r="O18" s="734">
        <f>+Factores!F18</f>
        <v>0.99150000000000005</v>
      </c>
      <c r="Q18" s="734">
        <v>0.98909999999999998</v>
      </c>
      <c r="R18" s="734">
        <v>0.98909999999999998</v>
      </c>
      <c r="S18" s="734">
        <v>0.98909999999999998</v>
      </c>
      <c r="T18" s="734">
        <v>0.99150000000000005</v>
      </c>
      <c r="V18" s="735">
        <f t="shared" si="0"/>
        <v>0</v>
      </c>
      <c r="W18" s="735">
        <f t="shared" si="1"/>
        <v>0</v>
      </c>
      <c r="X18" s="735">
        <f t="shared" si="2"/>
        <v>0</v>
      </c>
      <c r="Y18" s="735">
        <f t="shared" si="3"/>
        <v>0</v>
      </c>
    </row>
    <row r="19" spans="1:25">
      <c r="A19" s="776" t="s">
        <v>14</v>
      </c>
      <c r="B19" s="732">
        <v>1.0162</v>
      </c>
      <c r="C19" s="732">
        <v>1.0162</v>
      </c>
      <c r="D19" s="733">
        <v>1.0162</v>
      </c>
      <c r="E19" s="734">
        <v>1.0162</v>
      </c>
      <c r="F19" s="734">
        <v>1</v>
      </c>
      <c r="G19" s="734">
        <v>0.99939999999999996</v>
      </c>
      <c r="H19" s="734">
        <v>0.99939999999999996</v>
      </c>
      <c r="I19" s="734">
        <v>0.99780000000000002</v>
      </c>
      <c r="J19" s="734">
        <v>0.99780000000000002</v>
      </c>
      <c r="K19" s="734">
        <v>0.98909999999999998</v>
      </c>
      <c r="L19" s="734">
        <v>0.98909999999999998</v>
      </c>
      <c r="M19" s="734">
        <v>0.98909999999999998</v>
      </c>
      <c r="N19" s="734">
        <v>0.99150000000000005</v>
      </c>
      <c r="O19" s="734">
        <f>+Factores!F19</f>
        <v>0.99150000000000005</v>
      </c>
      <c r="Q19" s="734">
        <v>0.98909999999999998</v>
      </c>
      <c r="R19" s="734">
        <v>0.98909999999999998</v>
      </c>
      <c r="S19" s="734">
        <v>0.98909999999999998</v>
      </c>
      <c r="T19" s="734">
        <v>0.99150000000000005</v>
      </c>
      <c r="V19" s="735">
        <f t="shared" si="0"/>
        <v>0</v>
      </c>
      <c r="W19" s="735">
        <f t="shared" si="1"/>
        <v>0</v>
      </c>
      <c r="X19" s="735">
        <f t="shared" si="2"/>
        <v>0</v>
      </c>
      <c r="Y19" s="735">
        <f t="shared" si="3"/>
        <v>0</v>
      </c>
    </row>
    <row r="20" spans="1:25">
      <c r="A20" s="776" t="s">
        <v>36</v>
      </c>
      <c r="B20" s="732">
        <v>1.0162</v>
      </c>
      <c r="C20" s="732">
        <v>1.0162</v>
      </c>
      <c r="D20" s="733">
        <v>1.0162</v>
      </c>
      <c r="E20" s="734">
        <v>1.0162</v>
      </c>
      <c r="F20" s="734">
        <v>1</v>
      </c>
      <c r="G20" s="734">
        <v>1.0004999999999999</v>
      </c>
      <c r="H20" s="734">
        <v>1.0004999999999999</v>
      </c>
      <c r="I20" s="734">
        <v>0.99790000000000001</v>
      </c>
      <c r="J20" s="734">
        <v>0.99790000000000001</v>
      </c>
      <c r="K20" s="734">
        <v>0.9909</v>
      </c>
      <c r="L20" s="734">
        <v>0.9909</v>
      </c>
      <c r="M20" s="734">
        <v>0.9909</v>
      </c>
      <c r="N20" s="734">
        <v>0.99319999999999997</v>
      </c>
      <c r="O20" s="734">
        <f>+Factores!F20</f>
        <v>0.99319999999999997</v>
      </c>
      <c r="Q20" s="734">
        <v>0.9909</v>
      </c>
      <c r="R20" s="734">
        <v>0.9909</v>
      </c>
      <c r="S20" s="734">
        <v>0.9909</v>
      </c>
      <c r="T20" s="734">
        <v>0.99319999999999997</v>
      </c>
      <c r="V20" s="735">
        <f t="shared" si="0"/>
        <v>0</v>
      </c>
      <c r="W20" s="735">
        <f t="shared" si="1"/>
        <v>0</v>
      </c>
      <c r="X20" s="735">
        <f t="shared" si="2"/>
        <v>0</v>
      </c>
      <c r="Y20" s="735">
        <f t="shared" si="3"/>
        <v>0</v>
      </c>
    </row>
    <row r="21" spans="1:25">
      <c r="A21" s="776" t="s">
        <v>37</v>
      </c>
      <c r="B21" s="732">
        <v>1.0168999999999999</v>
      </c>
      <c r="C21" s="732">
        <v>1.0168999999999999</v>
      </c>
      <c r="D21" s="733">
        <v>1.0168999999999999</v>
      </c>
      <c r="E21" s="734">
        <v>1.0168999999999999</v>
      </c>
      <c r="F21" s="734">
        <v>1</v>
      </c>
      <c r="G21" s="734">
        <v>1.0003</v>
      </c>
      <c r="H21" s="734">
        <v>1.0003</v>
      </c>
      <c r="I21" s="734">
        <v>0.99790000000000001</v>
      </c>
      <c r="J21" s="734">
        <v>0.99790000000000001</v>
      </c>
      <c r="K21" s="734">
        <v>0.99050000000000005</v>
      </c>
      <c r="L21" s="734">
        <v>0.99050000000000005</v>
      </c>
      <c r="M21" s="734">
        <v>0.99050000000000005</v>
      </c>
      <c r="N21" s="734">
        <v>0.99280000000000002</v>
      </c>
      <c r="O21" s="734">
        <f>+Factores!F21</f>
        <v>0.99280000000000002</v>
      </c>
      <c r="Q21" s="734">
        <v>0.99050000000000005</v>
      </c>
      <c r="R21" s="734">
        <v>0.99050000000000005</v>
      </c>
      <c r="S21" s="734">
        <v>0.99050000000000005</v>
      </c>
      <c r="T21" s="734">
        <v>0.99280000000000002</v>
      </c>
      <c r="V21" s="735">
        <f t="shared" si="0"/>
        <v>0</v>
      </c>
      <c r="W21" s="735">
        <f t="shared" si="1"/>
        <v>0</v>
      </c>
      <c r="X21" s="735">
        <f t="shared" si="2"/>
        <v>0</v>
      </c>
      <c r="Y21" s="735">
        <f t="shared" si="3"/>
        <v>0</v>
      </c>
    </row>
    <row r="22" spans="1:25">
      <c r="A22" s="776" t="s">
        <v>13</v>
      </c>
      <c r="B22" s="732">
        <v>1.0685</v>
      </c>
      <c r="C22" s="732">
        <v>1.0685</v>
      </c>
      <c r="D22" s="733">
        <v>1.0685</v>
      </c>
      <c r="E22" s="734">
        <v>1.0685</v>
      </c>
      <c r="F22" s="734">
        <v>1</v>
      </c>
      <c r="G22" s="734">
        <v>1.0081</v>
      </c>
      <c r="H22" s="734">
        <v>1.0081</v>
      </c>
      <c r="I22" s="734">
        <v>0.999</v>
      </c>
      <c r="J22" s="734">
        <v>0.999</v>
      </c>
      <c r="K22" s="734">
        <v>1.0033000000000001</v>
      </c>
      <c r="L22" s="734">
        <v>1.0033000000000001</v>
      </c>
      <c r="M22" s="734">
        <v>1.0033000000000001</v>
      </c>
      <c r="N22" s="734">
        <v>1.0044</v>
      </c>
      <c r="O22" s="734">
        <f>+Factores!F22</f>
        <v>1.0044</v>
      </c>
      <c r="Q22" s="734">
        <v>1.0033000000000001</v>
      </c>
      <c r="R22" s="734">
        <v>1.0033000000000001</v>
      </c>
      <c r="S22" s="734">
        <v>1.0033000000000001</v>
      </c>
      <c r="T22" s="734">
        <v>1.0044</v>
      </c>
      <c r="V22" s="735">
        <f t="shared" si="0"/>
        <v>0</v>
      </c>
      <c r="W22" s="735">
        <f t="shared" si="1"/>
        <v>0</v>
      </c>
      <c r="X22" s="735">
        <f t="shared" si="2"/>
        <v>0</v>
      </c>
      <c r="Y22" s="735">
        <f t="shared" si="3"/>
        <v>0</v>
      </c>
    </row>
    <row r="23" spans="1:25">
      <c r="A23" s="779" t="s">
        <v>733</v>
      </c>
      <c r="B23" s="732">
        <v>1.02</v>
      </c>
      <c r="C23" s="732">
        <v>1.0235000000000001</v>
      </c>
      <c r="D23" s="733">
        <v>1.0235000000000001</v>
      </c>
      <c r="E23" s="734">
        <v>1.0235000000000001</v>
      </c>
      <c r="F23" s="734">
        <v>1</v>
      </c>
      <c r="G23" s="734">
        <v>1</v>
      </c>
      <c r="H23" s="734">
        <v>1</v>
      </c>
      <c r="I23" s="734">
        <v>1</v>
      </c>
      <c r="J23" s="734">
        <v>1</v>
      </c>
      <c r="K23" s="734">
        <v>1</v>
      </c>
      <c r="L23" s="734">
        <v>1</v>
      </c>
      <c r="M23" s="734">
        <v>1</v>
      </c>
      <c r="N23" s="734">
        <v>1</v>
      </c>
      <c r="O23" s="734">
        <f>+Factores!F23</f>
        <v>0.98160000000000003</v>
      </c>
      <c r="Q23" s="734">
        <v>1</v>
      </c>
      <c r="R23" s="734">
        <v>1</v>
      </c>
      <c r="S23" s="734">
        <v>1</v>
      </c>
      <c r="T23" s="734">
        <v>1</v>
      </c>
      <c r="V23" s="735">
        <f t="shared" si="0"/>
        <v>0</v>
      </c>
      <c r="W23" s="735">
        <f t="shared" si="1"/>
        <v>0</v>
      </c>
      <c r="X23" s="735">
        <f t="shared" si="2"/>
        <v>0</v>
      </c>
      <c r="Y23" s="735">
        <f t="shared" si="3"/>
        <v>0</v>
      </c>
    </row>
    <row r="24" spans="1:25">
      <c r="A24" s="780" t="s">
        <v>358</v>
      </c>
      <c r="B24" s="732">
        <v>1.18</v>
      </c>
      <c r="C24" s="732">
        <v>1.18</v>
      </c>
      <c r="D24" s="733">
        <v>1.18</v>
      </c>
      <c r="E24" s="734">
        <v>1.18</v>
      </c>
      <c r="F24" s="734">
        <v>1.18</v>
      </c>
      <c r="G24" s="734">
        <v>1.18</v>
      </c>
      <c r="H24" s="734">
        <v>1.18</v>
      </c>
      <c r="I24" s="734">
        <v>1.18</v>
      </c>
      <c r="J24" s="734">
        <v>1.18</v>
      </c>
      <c r="K24" s="734">
        <v>1.18</v>
      </c>
      <c r="L24" s="734">
        <v>1.18</v>
      </c>
      <c r="M24" s="734">
        <v>1.18</v>
      </c>
      <c r="N24" s="734">
        <v>1.18</v>
      </c>
      <c r="O24" s="734">
        <f>+Factores!F24</f>
        <v>1.18</v>
      </c>
      <c r="Q24" s="734">
        <v>1.18</v>
      </c>
      <c r="R24" s="734">
        <v>1.18</v>
      </c>
      <c r="S24" s="734">
        <v>1.18</v>
      </c>
      <c r="T24" s="734">
        <v>1.18</v>
      </c>
      <c r="V24" s="735">
        <f t="shared" si="0"/>
        <v>0</v>
      </c>
      <c r="W24" s="735">
        <f t="shared" si="1"/>
        <v>0</v>
      </c>
      <c r="X24" s="735">
        <f t="shared" si="2"/>
        <v>0</v>
      </c>
      <c r="Y24" s="735">
        <f t="shared" si="3"/>
        <v>0</v>
      </c>
    </row>
    <row r="25" spans="1:25">
      <c r="A25" s="780"/>
      <c r="B25" s="732" t="s">
        <v>224</v>
      </c>
      <c r="C25" s="732" t="s">
        <v>224</v>
      </c>
      <c r="D25" s="733" t="s">
        <v>224</v>
      </c>
      <c r="E25" s="734" t="s">
        <v>224</v>
      </c>
      <c r="F25" s="734" t="s">
        <v>224</v>
      </c>
      <c r="G25" s="734" t="s">
        <v>224</v>
      </c>
      <c r="H25" s="734" t="s">
        <v>224</v>
      </c>
      <c r="I25" s="734" t="s">
        <v>224</v>
      </c>
      <c r="J25" s="734" t="s">
        <v>224</v>
      </c>
      <c r="K25" s="734" t="s">
        <v>224</v>
      </c>
      <c r="L25" s="734" t="s">
        <v>224</v>
      </c>
      <c r="M25" s="734" t="s">
        <v>224</v>
      </c>
      <c r="N25" s="734" t="s">
        <v>224</v>
      </c>
      <c r="O25" s="734" t="str">
        <f>+Factores!F25</f>
        <v/>
      </c>
      <c r="Q25" s="734" t="s">
        <v>224</v>
      </c>
      <c r="R25" s="734" t="s">
        <v>224</v>
      </c>
      <c r="S25" s="734" t="s">
        <v>224</v>
      </c>
      <c r="T25" s="734" t="s">
        <v>224</v>
      </c>
      <c r="V25" s="735" t="str">
        <f t="shared" si="0"/>
        <v/>
      </c>
      <c r="W25" s="735" t="str">
        <f t="shared" si="1"/>
        <v/>
      </c>
      <c r="X25" s="735" t="str">
        <f t="shared" si="2"/>
        <v/>
      </c>
      <c r="Y25" s="735" t="str">
        <f t="shared" si="3"/>
        <v/>
      </c>
    </row>
    <row r="26" spans="1:25">
      <c r="A26" s="774" t="s">
        <v>726</v>
      </c>
      <c r="B26" s="738" t="s">
        <v>224</v>
      </c>
      <c r="C26" s="738" t="s">
        <v>224</v>
      </c>
      <c r="D26" s="739" t="s">
        <v>224</v>
      </c>
      <c r="E26" s="740" t="s">
        <v>224</v>
      </c>
      <c r="F26" s="740" t="s">
        <v>224</v>
      </c>
      <c r="G26" s="740" t="s">
        <v>224</v>
      </c>
      <c r="H26" s="740" t="s">
        <v>224</v>
      </c>
      <c r="I26" s="740" t="s">
        <v>224</v>
      </c>
      <c r="J26" s="740" t="s">
        <v>224</v>
      </c>
      <c r="K26" s="740" t="s">
        <v>224</v>
      </c>
      <c r="L26" s="740" t="s">
        <v>224</v>
      </c>
      <c r="M26" s="740" t="s">
        <v>224</v>
      </c>
      <c r="N26" s="740" t="s">
        <v>224</v>
      </c>
      <c r="O26" s="740" t="str">
        <f>+Factores!F26</f>
        <v/>
      </c>
      <c r="Q26" s="740" t="s">
        <v>224</v>
      </c>
      <c r="R26" s="740" t="s">
        <v>224</v>
      </c>
      <c r="S26" s="740" t="s">
        <v>224</v>
      </c>
      <c r="T26" s="740" t="s">
        <v>224</v>
      </c>
      <c r="V26" s="740" t="str">
        <f t="shared" si="0"/>
        <v/>
      </c>
      <c r="W26" s="740" t="str">
        <f t="shared" si="1"/>
        <v/>
      </c>
      <c r="X26" s="740" t="str">
        <f t="shared" si="2"/>
        <v/>
      </c>
      <c r="Y26" s="740" t="str">
        <f t="shared" si="3"/>
        <v/>
      </c>
    </row>
    <row r="27" spans="1:25">
      <c r="A27" s="778" t="s">
        <v>24</v>
      </c>
      <c r="B27" s="732">
        <v>1.0057</v>
      </c>
      <c r="C27" s="732">
        <v>1.0057</v>
      </c>
      <c r="D27" s="733">
        <v>0.95469999999999999</v>
      </c>
      <c r="E27" s="735">
        <v>0.95469999999999999</v>
      </c>
      <c r="F27" s="735">
        <v>1</v>
      </c>
      <c r="G27" s="735">
        <v>0.9899</v>
      </c>
      <c r="H27" s="735">
        <v>0.9899</v>
      </c>
      <c r="I27" s="735">
        <v>0.9899</v>
      </c>
      <c r="J27" s="735">
        <v>0.9899</v>
      </c>
      <c r="K27" s="735">
        <v>0.9899</v>
      </c>
      <c r="L27" s="735">
        <v>0.9738</v>
      </c>
      <c r="M27" s="735">
        <v>0.9738</v>
      </c>
      <c r="N27" s="735">
        <v>0.97150000000000003</v>
      </c>
      <c r="O27" s="735">
        <f>+Factores!F27</f>
        <v>0.97150000000000003</v>
      </c>
      <c r="Q27" s="735">
        <v>0.9899</v>
      </c>
      <c r="R27" s="735">
        <v>0.9738</v>
      </c>
      <c r="S27" s="735">
        <v>0.9738</v>
      </c>
      <c r="T27" s="735">
        <v>0.97150000000000003</v>
      </c>
      <c r="V27" s="735">
        <f t="shared" si="0"/>
        <v>0</v>
      </c>
      <c r="W27" s="735">
        <f t="shared" si="1"/>
        <v>0</v>
      </c>
      <c r="X27" s="735">
        <f t="shared" si="2"/>
        <v>0</v>
      </c>
      <c r="Y27" s="735">
        <f t="shared" si="3"/>
        <v>0</v>
      </c>
    </row>
    <row r="28" spans="1:25">
      <c r="A28" s="776" t="s">
        <v>27</v>
      </c>
      <c r="B28" s="732">
        <v>1.0091000000000001</v>
      </c>
      <c r="C28" s="732">
        <v>1.0091000000000001</v>
      </c>
      <c r="D28" s="733">
        <v>0.996</v>
      </c>
      <c r="E28" s="735">
        <v>0.996</v>
      </c>
      <c r="F28" s="735">
        <v>1</v>
      </c>
      <c r="G28" s="735">
        <v>0.99560000000000004</v>
      </c>
      <c r="H28" s="735">
        <v>0.99560000000000004</v>
      </c>
      <c r="I28" s="735">
        <v>0.99560000000000004</v>
      </c>
      <c r="J28" s="735">
        <v>0.99560000000000004</v>
      </c>
      <c r="K28" s="735">
        <v>0.99560000000000004</v>
      </c>
      <c r="L28" s="735">
        <v>0.98429999999999995</v>
      </c>
      <c r="M28" s="735">
        <v>0.98429999999999995</v>
      </c>
      <c r="N28" s="735">
        <v>0.98319999999999996</v>
      </c>
      <c r="O28" s="735">
        <v>0.98319999999999996</v>
      </c>
      <c r="Q28" s="735">
        <v>0.99560000000000004</v>
      </c>
      <c r="R28" s="735">
        <v>0.98429999999999995</v>
      </c>
      <c r="S28" s="735">
        <v>0.98429999999999995</v>
      </c>
      <c r="T28" s="735">
        <v>0.98319999999999996</v>
      </c>
      <c r="V28" s="735">
        <f t="shared" si="0"/>
        <v>0</v>
      </c>
      <c r="W28" s="735">
        <f t="shared" si="1"/>
        <v>0</v>
      </c>
      <c r="X28" s="735">
        <f t="shared" si="2"/>
        <v>0</v>
      </c>
      <c r="Y28" s="735">
        <f t="shared" si="3"/>
        <v>0</v>
      </c>
    </row>
    <row r="29" spans="1:25">
      <c r="A29" s="776" t="s">
        <v>26</v>
      </c>
      <c r="B29" s="732">
        <v>1.0092000000000001</v>
      </c>
      <c r="C29" s="732">
        <v>1.0092000000000001</v>
      </c>
      <c r="D29" s="733">
        <v>0.99429999999999996</v>
      </c>
      <c r="E29" s="735">
        <v>0.99429999999999996</v>
      </c>
      <c r="F29" s="735">
        <v>1</v>
      </c>
      <c r="G29" s="735">
        <v>0.99650000000000005</v>
      </c>
      <c r="H29" s="735">
        <v>0.99650000000000005</v>
      </c>
      <c r="I29" s="735">
        <v>0.99650000000000005</v>
      </c>
      <c r="J29" s="735">
        <v>0.99650000000000005</v>
      </c>
      <c r="K29" s="735">
        <v>0.99650000000000005</v>
      </c>
      <c r="L29" s="735">
        <v>0.98499999999999999</v>
      </c>
      <c r="M29" s="735">
        <v>0.98499999999999999</v>
      </c>
      <c r="N29" s="735">
        <v>0.98399999999999999</v>
      </c>
      <c r="O29" s="735">
        <f>+Factores!F29</f>
        <v>0.98399999999999999</v>
      </c>
      <c r="Q29" s="735">
        <v>0.99650000000000005</v>
      </c>
      <c r="R29" s="735">
        <v>0.98499999999999999</v>
      </c>
      <c r="S29" s="735">
        <v>0.98499999999999999</v>
      </c>
      <c r="T29" s="735">
        <v>0.98399999999999999</v>
      </c>
      <c r="V29" s="735">
        <f t="shared" si="0"/>
        <v>0</v>
      </c>
      <c r="W29" s="735">
        <f t="shared" si="1"/>
        <v>0</v>
      </c>
      <c r="X29" s="735">
        <f t="shared" si="2"/>
        <v>0</v>
      </c>
      <c r="Y29" s="735">
        <f t="shared" si="3"/>
        <v>0</v>
      </c>
    </row>
    <row r="30" spans="1:25">
      <c r="A30" s="776" t="s">
        <v>25</v>
      </c>
      <c r="B30" s="732">
        <v>1.036</v>
      </c>
      <c r="C30" s="732">
        <v>1.036</v>
      </c>
      <c r="D30" s="733">
        <v>1.0347999999999999</v>
      </c>
      <c r="E30" s="735">
        <v>1.0347999999999999</v>
      </c>
      <c r="F30" s="735">
        <v>1</v>
      </c>
      <c r="G30" s="735">
        <v>1.1040000000000001</v>
      </c>
      <c r="H30" s="735">
        <v>1.1040000000000001</v>
      </c>
      <c r="I30" s="735">
        <v>1.1040000000000001</v>
      </c>
      <c r="J30" s="735">
        <v>1.1040000000000001</v>
      </c>
      <c r="K30" s="735">
        <v>1.1040000000000001</v>
      </c>
      <c r="L30" s="735">
        <v>1.0409999999999999</v>
      </c>
      <c r="M30" s="735">
        <v>1.0409999999999999</v>
      </c>
      <c r="N30" s="735">
        <v>1.0341</v>
      </c>
      <c r="O30" s="735">
        <v>1.0341</v>
      </c>
      <c r="Q30" s="735">
        <v>1.1040000000000001</v>
      </c>
      <c r="R30" s="735">
        <v>1.0416000000000001</v>
      </c>
      <c r="S30" s="735">
        <v>1.0416000000000001</v>
      </c>
      <c r="T30" s="735">
        <v>1.0346</v>
      </c>
      <c r="V30" s="735">
        <f t="shared" si="0"/>
        <v>0</v>
      </c>
      <c r="W30" s="735">
        <f t="shared" si="1"/>
        <v>-6.0000000000015596E-4</v>
      </c>
      <c r="X30" s="735">
        <f t="shared" si="2"/>
        <v>-6.0000000000015596E-4</v>
      </c>
      <c r="Y30" s="735">
        <f t="shared" si="3"/>
        <v>-4.9999999999994493E-4</v>
      </c>
    </row>
    <row r="31" spans="1:25">
      <c r="A31" s="776" t="s">
        <v>90</v>
      </c>
      <c r="B31" s="732">
        <v>1.0057</v>
      </c>
      <c r="C31" s="732">
        <v>1.0057</v>
      </c>
      <c r="D31" s="733">
        <v>0.95469999999999999</v>
      </c>
      <c r="E31" s="735">
        <v>0.95469999999999999</v>
      </c>
      <c r="F31" s="735">
        <v>1</v>
      </c>
      <c r="G31" s="735">
        <v>0.9899</v>
      </c>
      <c r="H31" s="735">
        <v>0.9899</v>
      </c>
      <c r="I31" s="735">
        <v>0.9899</v>
      </c>
      <c r="J31" s="735">
        <v>0.9899</v>
      </c>
      <c r="K31" s="735">
        <v>0.9899</v>
      </c>
      <c r="L31" s="735">
        <v>0.9738</v>
      </c>
      <c r="M31" s="735">
        <v>0.9738</v>
      </c>
      <c r="N31" s="735">
        <v>0.97150000000000003</v>
      </c>
      <c r="O31" s="735">
        <f>+Factores!F31</f>
        <v>0.97150000000000003</v>
      </c>
      <c r="Q31" s="735">
        <v>0.9899</v>
      </c>
      <c r="R31" s="735">
        <v>0.9738</v>
      </c>
      <c r="S31" s="735">
        <v>0.9738</v>
      </c>
      <c r="T31" s="735">
        <v>0.97150000000000003</v>
      </c>
      <c r="V31" s="735">
        <f t="shared" si="0"/>
        <v>0</v>
      </c>
      <c r="W31" s="735">
        <f t="shared" si="1"/>
        <v>0</v>
      </c>
      <c r="X31" s="735">
        <f t="shared" si="2"/>
        <v>0</v>
      </c>
      <c r="Y31" s="735">
        <f t="shared" si="3"/>
        <v>0</v>
      </c>
    </row>
    <row r="32" spans="1:25">
      <c r="A32" s="776" t="s">
        <v>91</v>
      </c>
      <c r="B32" s="732">
        <v>1.0057</v>
      </c>
      <c r="C32" s="732">
        <v>1.0057</v>
      </c>
      <c r="D32" s="733">
        <v>0.95469999999999999</v>
      </c>
      <c r="E32" s="735">
        <v>0.95469999999999999</v>
      </c>
      <c r="F32" s="735">
        <v>1</v>
      </c>
      <c r="G32" s="735">
        <v>0.9899</v>
      </c>
      <c r="H32" s="735">
        <v>0.9899</v>
      </c>
      <c r="I32" s="735">
        <v>0.9899</v>
      </c>
      <c r="J32" s="735">
        <v>0.9899</v>
      </c>
      <c r="K32" s="735">
        <v>0.9899</v>
      </c>
      <c r="L32" s="735">
        <v>0.9738</v>
      </c>
      <c r="M32" s="735">
        <v>0.9738</v>
      </c>
      <c r="N32" s="735">
        <v>0.97150000000000003</v>
      </c>
      <c r="O32" s="735">
        <f>+Factores!F32</f>
        <v>0.97150000000000003</v>
      </c>
      <c r="Q32" s="735">
        <v>0.9899</v>
      </c>
      <c r="R32" s="735">
        <v>0.9738</v>
      </c>
      <c r="S32" s="735">
        <v>0.9738</v>
      </c>
      <c r="T32" s="735">
        <v>0.97150000000000003</v>
      </c>
      <c r="V32" s="735">
        <f t="shared" si="0"/>
        <v>0</v>
      </c>
      <c r="W32" s="735">
        <f t="shared" si="1"/>
        <v>0</v>
      </c>
      <c r="X32" s="735">
        <f t="shared" si="2"/>
        <v>0</v>
      </c>
      <c r="Y32" s="735">
        <f t="shared" si="3"/>
        <v>0</v>
      </c>
    </row>
    <row r="33" spans="1:25">
      <c r="A33" s="778" t="s">
        <v>92</v>
      </c>
      <c r="B33" s="732">
        <v>1.0057</v>
      </c>
      <c r="C33" s="732">
        <v>1.0057</v>
      </c>
      <c r="D33" s="733">
        <v>0.95469999999999999</v>
      </c>
      <c r="E33" s="735">
        <v>0.95469999999999999</v>
      </c>
      <c r="F33" s="735">
        <v>1</v>
      </c>
      <c r="G33" s="735">
        <v>0.9899</v>
      </c>
      <c r="H33" s="735">
        <v>0.9899</v>
      </c>
      <c r="I33" s="735">
        <v>0.9899</v>
      </c>
      <c r="J33" s="735">
        <v>0.9899</v>
      </c>
      <c r="K33" s="735">
        <v>0.9899</v>
      </c>
      <c r="L33" s="735">
        <v>0.9738</v>
      </c>
      <c r="M33" s="735">
        <v>0.9738</v>
      </c>
      <c r="N33" s="735">
        <v>0.97150000000000003</v>
      </c>
      <c r="O33" s="735">
        <f>+Factores!F33</f>
        <v>0.97150000000000003</v>
      </c>
      <c r="Q33" s="735">
        <v>0.9899</v>
      </c>
      <c r="R33" s="735">
        <v>0.9738</v>
      </c>
      <c r="S33" s="735">
        <v>0.9738</v>
      </c>
      <c r="T33" s="735">
        <v>0.97150000000000003</v>
      </c>
      <c r="V33" s="735">
        <f t="shared" si="0"/>
        <v>0</v>
      </c>
      <c r="W33" s="735">
        <f t="shared" si="1"/>
        <v>0</v>
      </c>
      <c r="X33" s="735">
        <f t="shared" si="2"/>
        <v>0</v>
      </c>
      <c r="Y33" s="735">
        <f t="shared" si="3"/>
        <v>0</v>
      </c>
    </row>
    <row r="34" spans="1:25">
      <c r="A34" s="778" t="s">
        <v>224</v>
      </c>
      <c r="B34" s="732" t="s">
        <v>224</v>
      </c>
      <c r="C34" s="732" t="s">
        <v>224</v>
      </c>
      <c r="D34" s="733" t="s">
        <v>224</v>
      </c>
      <c r="E34" s="735" t="s">
        <v>224</v>
      </c>
      <c r="F34" s="735" t="s">
        <v>224</v>
      </c>
      <c r="G34" s="735" t="s">
        <v>224</v>
      </c>
      <c r="H34" s="735" t="s">
        <v>224</v>
      </c>
      <c r="I34" s="735" t="s">
        <v>224</v>
      </c>
      <c r="J34" s="735" t="s">
        <v>224</v>
      </c>
      <c r="K34" s="735" t="s">
        <v>224</v>
      </c>
      <c r="L34" s="735" t="s">
        <v>224</v>
      </c>
      <c r="M34" s="735" t="s">
        <v>224</v>
      </c>
      <c r="N34" s="735" t="s">
        <v>224</v>
      </c>
      <c r="O34" s="735" t="str">
        <f>+Factores!F34</f>
        <v/>
      </c>
      <c r="Q34" s="735" t="s">
        <v>224</v>
      </c>
      <c r="R34" s="735" t="s">
        <v>224</v>
      </c>
      <c r="S34" s="735" t="s">
        <v>224</v>
      </c>
      <c r="T34" s="735" t="s">
        <v>224</v>
      </c>
      <c r="V34" s="735" t="str">
        <f t="shared" si="0"/>
        <v/>
      </c>
      <c r="W34" s="735" t="str">
        <f t="shared" si="1"/>
        <v/>
      </c>
      <c r="X34" s="735" t="str">
        <f t="shared" si="2"/>
        <v/>
      </c>
      <c r="Y34" s="735" t="str">
        <f t="shared" si="3"/>
        <v/>
      </c>
    </row>
    <row r="35" spans="1:25">
      <c r="A35" s="781" t="s">
        <v>621</v>
      </c>
      <c r="B35" s="732" t="s">
        <v>224</v>
      </c>
      <c r="C35" s="732" t="s">
        <v>224</v>
      </c>
      <c r="D35" s="733" t="s">
        <v>224</v>
      </c>
      <c r="E35" s="735" t="s">
        <v>224</v>
      </c>
      <c r="F35" s="735" t="s">
        <v>224</v>
      </c>
      <c r="G35" s="735" t="s">
        <v>224</v>
      </c>
      <c r="H35" s="735" t="s">
        <v>224</v>
      </c>
      <c r="I35" s="735" t="s">
        <v>224</v>
      </c>
      <c r="J35" s="735" t="s">
        <v>224</v>
      </c>
      <c r="K35" s="735" t="s">
        <v>224</v>
      </c>
      <c r="L35" s="735" t="s">
        <v>224</v>
      </c>
      <c r="M35" s="735" t="s">
        <v>224</v>
      </c>
      <c r="N35" s="735" t="s">
        <v>224</v>
      </c>
      <c r="O35" s="735" t="str">
        <f>+Factores!F35</f>
        <v/>
      </c>
      <c r="Q35" s="735" t="s">
        <v>224</v>
      </c>
      <c r="R35" s="735" t="s">
        <v>224</v>
      </c>
      <c r="S35" s="735" t="s">
        <v>224</v>
      </c>
      <c r="T35" s="735" t="s">
        <v>224</v>
      </c>
      <c r="V35" s="735" t="str">
        <f t="shared" si="0"/>
        <v/>
      </c>
      <c r="W35" s="735" t="str">
        <f t="shared" si="1"/>
        <v/>
      </c>
      <c r="X35" s="735" t="str">
        <f t="shared" si="2"/>
        <v/>
      </c>
      <c r="Y35" s="735" t="str">
        <f t="shared" si="3"/>
        <v/>
      </c>
    </row>
    <row r="36" spans="1:25">
      <c r="A36" s="778" t="s">
        <v>466</v>
      </c>
      <c r="B36" s="732">
        <v>1.0069999999999999</v>
      </c>
      <c r="C36" s="732">
        <v>1.0069999999999999</v>
      </c>
      <c r="D36" s="733">
        <v>0.97329999999999994</v>
      </c>
      <c r="E36" s="735">
        <v>0.97329999999999994</v>
      </c>
      <c r="F36" s="735">
        <v>1</v>
      </c>
      <c r="G36" s="735">
        <v>0.99259999999999993</v>
      </c>
      <c r="H36" s="735">
        <v>0.99259999999999993</v>
      </c>
      <c r="I36" s="735">
        <v>0.99259999999999993</v>
      </c>
      <c r="J36" s="735">
        <v>0.99259999999999993</v>
      </c>
      <c r="K36" s="735">
        <v>0.99259999999999993</v>
      </c>
      <c r="L36" s="735">
        <v>0.9788</v>
      </c>
      <c r="M36" s="735">
        <v>0.97879999999999989</v>
      </c>
      <c r="N36" s="735">
        <v>0.97720000000000007</v>
      </c>
      <c r="O36" s="735">
        <f>+Factores!F36</f>
        <v>0.97720000000000007</v>
      </c>
      <c r="Q36" s="735">
        <v>0.99259999999999993</v>
      </c>
      <c r="R36" s="735">
        <v>0.97879999999999989</v>
      </c>
      <c r="S36" s="735">
        <v>0.97879999999999989</v>
      </c>
      <c r="T36" s="735">
        <v>0.97720000000000007</v>
      </c>
      <c r="V36" s="735">
        <f t="shared" si="0"/>
        <v>0</v>
      </c>
      <c r="W36" s="735">
        <f t="shared" si="1"/>
        <v>1.1102230246251565E-16</v>
      </c>
      <c r="X36" s="735">
        <f t="shared" si="2"/>
        <v>0</v>
      </c>
      <c r="Y36" s="735">
        <f t="shared" si="3"/>
        <v>0</v>
      </c>
    </row>
    <row r="37" spans="1:25">
      <c r="A37" s="778" t="s">
        <v>224</v>
      </c>
      <c r="B37" s="732" t="s">
        <v>224</v>
      </c>
      <c r="C37" s="732" t="s">
        <v>224</v>
      </c>
      <c r="D37" s="733" t="s">
        <v>224</v>
      </c>
      <c r="E37" s="735" t="s">
        <v>224</v>
      </c>
      <c r="F37" s="735" t="s">
        <v>224</v>
      </c>
      <c r="G37" s="735" t="s">
        <v>224</v>
      </c>
      <c r="H37" s="735" t="s">
        <v>224</v>
      </c>
      <c r="I37" s="735" t="s">
        <v>224</v>
      </c>
      <c r="J37" s="735" t="s">
        <v>224</v>
      </c>
      <c r="K37" s="735" t="s">
        <v>224</v>
      </c>
      <c r="L37" s="735" t="s">
        <v>224</v>
      </c>
      <c r="M37" s="735" t="s">
        <v>224</v>
      </c>
      <c r="N37" s="735" t="s">
        <v>224</v>
      </c>
      <c r="O37" s="735" t="str">
        <f>+Factores!F37</f>
        <v/>
      </c>
      <c r="Q37" s="735" t="s">
        <v>224</v>
      </c>
      <c r="R37" s="735" t="s">
        <v>224</v>
      </c>
      <c r="S37" s="735" t="s">
        <v>224</v>
      </c>
      <c r="T37" s="735" t="s">
        <v>224</v>
      </c>
      <c r="V37" s="735" t="str">
        <f t="shared" si="0"/>
        <v/>
      </c>
      <c r="W37" s="735" t="str">
        <f t="shared" si="1"/>
        <v/>
      </c>
      <c r="X37" s="735" t="str">
        <f t="shared" si="2"/>
        <v/>
      </c>
      <c r="Y37" s="735" t="str">
        <f t="shared" si="3"/>
        <v/>
      </c>
    </row>
    <row r="38" spans="1:25">
      <c r="A38" s="781" t="s">
        <v>620</v>
      </c>
      <c r="B38" s="732" t="s">
        <v>224</v>
      </c>
      <c r="C38" s="732" t="s">
        <v>224</v>
      </c>
      <c r="D38" s="733" t="s">
        <v>224</v>
      </c>
      <c r="E38" s="735" t="s">
        <v>224</v>
      </c>
      <c r="F38" s="735" t="s">
        <v>224</v>
      </c>
      <c r="G38" s="735" t="s">
        <v>224</v>
      </c>
      <c r="H38" s="735" t="s">
        <v>224</v>
      </c>
      <c r="I38" s="735" t="s">
        <v>224</v>
      </c>
      <c r="J38" s="735" t="s">
        <v>224</v>
      </c>
      <c r="K38" s="735" t="s">
        <v>224</v>
      </c>
      <c r="L38" s="735" t="s">
        <v>224</v>
      </c>
      <c r="M38" s="735" t="s">
        <v>224</v>
      </c>
      <c r="N38" s="735" t="s">
        <v>224</v>
      </c>
      <c r="O38" s="735" t="str">
        <f>+Factores!F38</f>
        <v/>
      </c>
      <c r="Q38" s="735" t="s">
        <v>224</v>
      </c>
      <c r="R38" s="735" t="s">
        <v>224</v>
      </c>
      <c r="S38" s="735" t="s">
        <v>224</v>
      </c>
      <c r="T38" s="735" t="s">
        <v>224</v>
      </c>
      <c r="V38" s="735" t="str">
        <f t="shared" si="0"/>
        <v/>
      </c>
      <c r="W38" s="735" t="str">
        <f t="shared" si="1"/>
        <v/>
      </c>
      <c r="X38" s="735" t="str">
        <f t="shared" si="2"/>
        <v/>
      </c>
      <c r="Y38" s="735" t="str">
        <f t="shared" si="3"/>
        <v/>
      </c>
    </row>
    <row r="39" spans="1:25">
      <c r="A39" s="778" t="s">
        <v>467</v>
      </c>
      <c r="B39" s="732">
        <v>1.5277000000000001</v>
      </c>
      <c r="C39" s="732">
        <v>2.9169</v>
      </c>
      <c r="D39" s="733">
        <v>2.9169</v>
      </c>
      <c r="E39" s="735">
        <v>2.9169</v>
      </c>
      <c r="F39" s="735">
        <v>1</v>
      </c>
      <c r="G39" s="735">
        <v>1</v>
      </c>
      <c r="H39" s="735">
        <v>1</v>
      </c>
      <c r="I39" s="735">
        <v>1</v>
      </c>
      <c r="J39" s="735">
        <v>1.0972</v>
      </c>
      <c r="K39" s="735">
        <v>1.0972</v>
      </c>
      <c r="L39" s="735">
        <v>1.0972</v>
      </c>
      <c r="M39" s="735">
        <v>1.0972</v>
      </c>
      <c r="N39" s="735">
        <v>1.7132000000000001</v>
      </c>
      <c r="O39" s="735">
        <f>+Factores!F39</f>
        <v>1.7132000000000001</v>
      </c>
      <c r="Q39" s="735">
        <v>1.0972</v>
      </c>
      <c r="R39" s="735">
        <v>1.0972</v>
      </c>
      <c r="S39" s="735">
        <v>1.0972</v>
      </c>
      <c r="T39" s="735">
        <v>1.7132000000000001</v>
      </c>
      <c r="V39" s="735">
        <f t="shared" si="0"/>
        <v>0</v>
      </c>
      <c r="W39" s="735">
        <f t="shared" si="1"/>
        <v>0</v>
      </c>
      <c r="X39" s="735">
        <f t="shared" si="2"/>
        <v>0</v>
      </c>
      <c r="Y39" s="735">
        <f t="shared" si="3"/>
        <v>0</v>
      </c>
    </row>
    <row r="40" spans="1:25">
      <c r="A40" s="778" t="s">
        <v>468</v>
      </c>
      <c r="B40" s="732">
        <v>0</v>
      </c>
      <c r="C40" s="732">
        <v>0</v>
      </c>
      <c r="D40" s="733">
        <v>0</v>
      </c>
      <c r="E40" s="735">
        <v>0</v>
      </c>
      <c r="F40" s="735">
        <v>1</v>
      </c>
      <c r="G40" s="735">
        <v>1</v>
      </c>
      <c r="H40" s="735">
        <v>1</v>
      </c>
      <c r="I40" s="735">
        <v>1</v>
      </c>
      <c r="J40" s="735">
        <v>0</v>
      </c>
      <c r="K40" s="735">
        <v>0</v>
      </c>
      <c r="L40" s="735">
        <v>0</v>
      </c>
      <c r="M40" s="735">
        <v>0</v>
      </c>
      <c r="N40" s="735">
        <v>0</v>
      </c>
      <c r="O40" s="735">
        <f>+Factores!F40</f>
        <v>0</v>
      </c>
      <c r="Q40" s="735">
        <v>0</v>
      </c>
      <c r="R40" s="735">
        <v>0</v>
      </c>
      <c r="S40" s="735">
        <v>0</v>
      </c>
      <c r="T40" s="735">
        <v>0</v>
      </c>
      <c r="V40" s="735">
        <f t="shared" si="0"/>
        <v>0</v>
      </c>
      <c r="W40" s="735">
        <f t="shared" si="1"/>
        <v>0</v>
      </c>
      <c r="X40" s="735">
        <f t="shared" si="2"/>
        <v>0</v>
      </c>
      <c r="Y40" s="735">
        <f t="shared" si="3"/>
        <v>0</v>
      </c>
    </row>
    <row r="41" spans="1:25">
      <c r="A41" s="781" t="s">
        <v>394</v>
      </c>
      <c r="B41" s="732" t="s">
        <v>224</v>
      </c>
      <c r="C41" s="732" t="s">
        <v>224</v>
      </c>
      <c r="D41" s="733" t="s">
        <v>224</v>
      </c>
      <c r="E41" s="735" t="s">
        <v>224</v>
      </c>
      <c r="F41" s="735" t="s">
        <v>224</v>
      </c>
      <c r="G41" s="735" t="s">
        <v>224</v>
      </c>
      <c r="H41" s="735" t="s">
        <v>224</v>
      </c>
      <c r="I41" s="735" t="s">
        <v>224</v>
      </c>
      <c r="J41" s="735" t="s">
        <v>224</v>
      </c>
      <c r="K41" s="735" t="s">
        <v>224</v>
      </c>
      <c r="L41" s="735" t="s">
        <v>224</v>
      </c>
      <c r="M41" s="735" t="s">
        <v>224</v>
      </c>
      <c r="N41" s="735" t="s">
        <v>224</v>
      </c>
      <c r="O41" s="735" t="str">
        <f>+Factores!F41</f>
        <v/>
      </c>
      <c r="Q41" s="735" t="s">
        <v>224</v>
      </c>
      <c r="R41" s="735" t="s">
        <v>224</v>
      </c>
      <c r="S41" s="735" t="s">
        <v>224</v>
      </c>
      <c r="T41" s="735" t="s">
        <v>224</v>
      </c>
      <c r="V41" s="735" t="str">
        <f t="shared" ref="V41:V72" si="8">IF(ISERR(K41-Q41),"",K41-Q41)</f>
        <v/>
      </c>
      <c r="W41" s="735" t="str">
        <f t="shared" ref="W41:W72" si="9">IF(ISERR(L41-R41),"",L41-R41)</f>
        <v/>
      </c>
      <c r="X41" s="735" t="str">
        <f t="shared" ref="X41:X72" si="10">IF(ISERR(M41-S41),"",M41-S41)</f>
        <v/>
      </c>
      <c r="Y41" s="735" t="str">
        <f t="shared" ref="Y41:Y72" si="11">IF(ISERR(N41-T41),"",N41-T41)</f>
        <v/>
      </c>
    </row>
    <row r="42" spans="1:25">
      <c r="A42" s="778" t="s">
        <v>185</v>
      </c>
      <c r="B42" s="732">
        <v>0</v>
      </c>
      <c r="C42" s="732">
        <v>0</v>
      </c>
      <c r="D42" s="733">
        <v>0</v>
      </c>
      <c r="E42" s="735">
        <v>0</v>
      </c>
      <c r="F42" s="735">
        <v>1</v>
      </c>
      <c r="G42" s="735">
        <v>1</v>
      </c>
      <c r="H42" s="735">
        <v>1</v>
      </c>
      <c r="I42" s="735">
        <v>1</v>
      </c>
      <c r="J42" s="735">
        <v>0</v>
      </c>
      <c r="K42" s="735">
        <v>0</v>
      </c>
      <c r="L42" s="735">
        <v>0</v>
      </c>
      <c r="M42" s="735">
        <v>0</v>
      </c>
      <c r="N42" s="735">
        <v>0</v>
      </c>
      <c r="O42" s="735">
        <f>+Factores!F42</f>
        <v>0</v>
      </c>
      <c r="Q42" s="735">
        <v>0</v>
      </c>
      <c r="R42" s="735">
        <v>0</v>
      </c>
      <c r="S42" s="735">
        <v>0</v>
      </c>
      <c r="T42" s="735">
        <v>0</v>
      </c>
      <c r="V42" s="735">
        <f t="shared" si="8"/>
        <v>0</v>
      </c>
      <c r="W42" s="735">
        <f t="shared" si="9"/>
        <v>0</v>
      </c>
      <c r="X42" s="735">
        <f t="shared" si="10"/>
        <v>0</v>
      </c>
      <c r="Y42" s="735">
        <f t="shared" si="11"/>
        <v>0</v>
      </c>
    </row>
    <row r="43" spans="1:25">
      <c r="A43" s="778" t="s">
        <v>278</v>
      </c>
      <c r="B43" s="732">
        <v>1</v>
      </c>
      <c r="C43" s="732">
        <v>1.25</v>
      </c>
      <c r="D43" s="733">
        <v>1.25</v>
      </c>
      <c r="E43" s="735">
        <v>1.25</v>
      </c>
      <c r="F43" s="735">
        <v>1</v>
      </c>
      <c r="G43" s="735">
        <v>1</v>
      </c>
      <c r="H43" s="735">
        <v>1</v>
      </c>
      <c r="I43" s="735">
        <v>1</v>
      </c>
      <c r="J43" s="735">
        <v>1</v>
      </c>
      <c r="K43" s="735">
        <v>1</v>
      </c>
      <c r="L43" s="735">
        <v>1</v>
      </c>
      <c r="M43" s="735">
        <v>1</v>
      </c>
      <c r="N43" s="735">
        <v>1</v>
      </c>
      <c r="O43" s="735">
        <f>+Factores!F43</f>
        <v>1</v>
      </c>
      <c r="Q43" s="735">
        <v>1</v>
      </c>
      <c r="R43" s="735">
        <v>1</v>
      </c>
      <c r="S43" s="735">
        <v>1</v>
      </c>
      <c r="T43" s="735">
        <v>1</v>
      </c>
      <c r="V43" s="735">
        <f t="shared" si="8"/>
        <v>0</v>
      </c>
      <c r="W43" s="735">
        <f t="shared" si="9"/>
        <v>0</v>
      </c>
      <c r="X43" s="735">
        <f t="shared" si="10"/>
        <v>0</v>
      </c>
      <c r="Y43" s="735">
        <f t="shared" si="11"/>
        <v>0</v>
      </c>
    </row>
    <row r="44" spans="1:25">
      <c r="A44" s="778" t="s">
        <v>279</v>
      </c>
      <c r="B44" s="732">
        <v>1.3332999999999999</v>
      </c>
      <c r="C44" s="732">
        <v>1.6667000000000001</v>
      </c>
      <c r="D44" s="733">
        <v>1.6667000000000001</v>
      </c>
      <c r="E44" s="735">
        <v>1.6667000000000001</v>
      </c>
      <c r="F44" s="735">
        <v>1</v>
      </c>
      <c r="G44" s="735">
        <v>1</v>
      </c>
      <c r="H44" s="735">
        <v>1</v>
      </c>
      <c r="I44" s="735">
        <v>1</v>
      </c>
      <c r="J44" s="735">
        <v>1</v>
      </c>
      <c r="K44" s="735">
        <v>1</v>
      </c>
      <c r="L44" s="735">
        <v>1</v>
      </c>
      <c r="M44" s="735">
        <v>1</v>
      </c>
      <c r="N44" s="735">
        <v>1</v>
      </c>
      <c r="O44" s="735">
        <f>+Factores!F44</f>
        <v>1</v>
      </c>
      <c r="Q44" s="735">
        <v>1</v>
      </c>
      <c r="R44" s="735">
        <v>1</v>
      </c>
      <c r="S44" s="735">
        <v>1</v>
      </c>
      <c r="T44" s="735">
        <v>1</v>
      </c>
      <c r="V44" s="735">
        <f t="shared" si="8"/>
        <v>0</v>
      </c>
      <c r="W44" s="735">
        <f t="shared" si="9"/>
        <v>0</v>
      </c>
      <c r="X44" s="735">
        <f t="shared" si="10"/>
        <v>0</v>
      </c>
      <c r="Y44" s="735">
        <f t="shared" si="11"/>
        <v>0</v>
      </c>
    </row>
    <row r="45" spans="1:25">
      <c r="A45" s="778" t="s">
        <v>186</v>
      </c>
      <c r="B45" s="732">
        <v>1.6667000000000001</v>
      </c>
      <c r="C45" s="732">
        <v>3.3332999999999999</v>
      </c>
      <c r="D45" s="733">
        <v>3.3332999999999999</v>
      </c>
      <c r="E45" s="735">
        <v>3.3332999999999999</v>
      </c>
      <c r="F45" s="735">
        <v>1</v>
      </c>
      <c r="G45" s="735">
        <v>1</v>
      </c>
      <c r="H45" s="735">
        <v>1</v>
      </c>
      <c r="I45" s="735">
        <v>1</v>
      </c>
      <c r="J45" s="735">
        <v>1.25</v>
      </c>
      <c r="K45" s="735">
        <v>1.25</v>
      </c>
      <c r="L45" s="735">
        <v>1.25</v>
      </c>
      <c r="M45" s="735">
        <v>1.25</v>
      </c>
      <c r="N45" s="735">
        <v>1.25</v>
      </c>
      <c r="O45" s="735">
        <f>+Factores!F45</f>
        <v>1.25</v>
      </c>
      <c r="Q45" s="735">
        <v>1.25</v>
      </c>
      <c r="R45" s="735">
        <v>1.25</v>
      </c>
      <c r="S45" s="735">
        <v>1.25</v>
      </c>
      <c r="T45" s="735">
        <v>1.25</v>
      </c>
      <c r="V45" s="735">
        <f t="shared" si="8"/>
        <v>0</v>
      </c>
      <c r="W45" s="735">
        <f t="shared" si="9"/>
        <v>0</v>
      </c>
      <c r="X45" s="735">
        <f t="shared" si="10"/>
        <v>0</v>
      </c>
      <c r="Y45" s="735">
        <f t="shared" si="11"/>
        <v>0</v>
      </c>
    </row>
    <row r="46" spans="1:25">
      <c r="A46" s="778" t="s">
        <v>191</v>
      </c>
      <c r="B46" s="732">
        <v>1</v>
      </c>
      <c r="C46" s="732">
        <v>0</v>
      </c>
      <c r="D46" s="733">
        <v>0</v>
      </c>
      <c r="E46" s="735">
        <v>0</v>
      </c>
      <c r="F46" s="735">
        <v>1</v>
      </c>
      <c r="G46" s="735">
        <v>1</v>
      </c>
      <c r="H46" s="735">
        <v>1</v>
      </c>
      <c r="I46" s="735">
        <v>1</v>
      </c>
      <c r="J46" s="735">
        <v>0</v>
      </c>
      <c r="K46" s="735">
        <v>0</v>
      </c>
      <c r="L46" s="735">
        <v>0</v>
      </c>
      <c r="M46" s="735">
        <v>0</v>
      </c>
      <c r="N46" s="735">
        <v>0.5</v>
      </c>
      <c r="O46" s="735">
        <f>+Factores!F46</f>
        <v>0.5</v>
      </c>
      <c r="Q46" s="735">
        <v>0</v>
      </c>
      <c r="R46" s="735">
        <v>0</v>
      </c>
      <c r="S46" s="735">
        <v>0</v>
      </c>
      <c r="T46" s="735">
        <v>0.5</v>
      </c>
      <c r="V46" s="735">
        <f t="shared" si="8"/>
        <v>0</v>
      </c>
      <c r="W46" s="735">
        <f t="shared" si="9"/>
        <v>0</v>
      </c>
      <c r="X46" s="735">
        <f t="shared" si="10"/>
        <v>0</v>
      </c>
      <c r="Y46" s="735">
        <f t="shared" si="11"/>
        <v>0</v>
      </c>
    </row>
    <row r="47" spans="1:25">
      <c r="A47" s="778" t="s">
        <v>187</v>
      </c>
      <c r="B47" s="732">
        <v>1.0769</v>
      </c>
      <c r="C47" s="732">
        <v>1.4615</v>
      </c>
      <c r="D47" s="733">
        <v>1.4615</v>
      </c>
      <c r="E47" s="735">
        <v>1.4615</v>
      </c>
      <c r="F47" s="735">
        <v>1</v>
      </c>
      <c r="G47" s="735">
        <v>1</v>
      </c>
      <c r="H47" s="735">
        <v>1</v>
      </c>
      <c r="I47" s="735">
        <v>1</v>
      </c>
      <c r="J47" s="735">
        <v>1</v>
      </c>
      <c r="K47" s="735">
        <v>1</v>
      </c>
      <c r="L47" s="735">
        <v>1</v>
      </c>
      <c r="M47" s="735">
        <v>1</v>
      </c>
      <c r="N47" s="735">
        <v>1</v>
      </c>
      <c r="O47" s="735">
        <f>+Factores!F47</f>
        <v>1</v>
      </c>
      <c r="Q47" s="735">
        <v>1</v>
      </c>
      <c r="R47" s="735">
        <v>1</v>
      </c>
      <c r="S47" s="735">
        <v>1</v>
      </c>
      <c r="T47" s="735">
        <v>1</v>
      </c>
      <c r="V47" s="735">
        <f t="shared" si="8"/>
        <v>0</v>
      </c>
      <c r="W47" s="735">
        <f t="shared" si="9"/>
        <v>0</v>
      </c>
      <c r="X47" s="735">
        <f t="shared" si="10"/>
        <v>0</v>
      </c>
      <c r="Y47" s="735">
        <f t="shared" si="11"/>
        <v>0</v>
      </c>
    </row>
    <row r="48" spans="1:25">
      <c r="A48" s="778" t="s">
        <v>188</v>
      </c>
      <c r="B48" s="732">
        <v>0.66669999999999996</v>
      </c>
      <c r="C48" s="732">
        <v>1.3332999999999999</v>
      </c>
      <c r="D48" s="733">
        <v>1.3332999999999999</v>
      </c>
      <c r="E48" s="735">
        <v>1.3332999999999999</v>
      </c>
      <c r="F48" s="735">
        <v>1</v>
      </c>
      <c r="G48" s="735">
        <v>1</v>
      </c>
      <c r="H48" s="735">
        <v>1</v>
      </c>
      <c r="I48" s="735">
        <v>1</v>
      </c>
      <c r="J48" s="735">
        <v>1</v>
      </c>
      <c r="K48" s="735">
        <v>1</v>
      </c>
      <c r="L48" s="735">
        <v>1</v>
      </c>
      <c r="M48" s="735">
        <v>1</v>
      </c>
      <c r="N48" s="735">
        <v>1</v>
      </c>
      <c r="O48" s="735">
        <f>+Factores!F48</f>
        <v>1</v>
      </c>
      <c r="Q48" s="735">
        <v>1</v>
      </c>
      <c r="R48" s="735">
        <v>1</v>
      </c>
      <c r="S48" s="735">
        <v>1</v>
      </c>
      <c r="T48" s="735">
        <v>1</v>
      </c>
      <c r="V48" s="735">
        <f t="shared" si="8"/>
        <v>0</v>
      </c>
      <c r="W48" s="735">
        <f t="shared" si="9"/>
        <v>0</v>
      </c>
      <c r="X48" s="735">
        <f t="shared" si="10"/>
        <v>0</v>
      </c>
      <c r="Y48" s="735">
        <f t="shared" si="11"/>
        <v>0</v>
      </c>
    </row>
    <row r="49" spans="1:25">
      <c r="A49" s="778" t="s">
        <v>189</v>
      </c>
      <c r="B49" s="732">
        <v>1</v>
      </c>
      <c r="C49" s="732">
        <v>1.3332999999999999</v>
      </c>
      <c r="D49" s="733">
        <v>1.3332999999999999</v>
      </c>
      <c r="E49" s="735">
        <v>1.3332999999999999</v>
      </c>
      <c r="F49" s="735">
        <v>1</v>
      </c>
      <c r="G49" s="735">
        <v>1</v>
      </c>
      <c r="H49" s="735">
        <v>1</v>
      </c>
      <c r="I49" s="735">
        <v>1</v>
      </c>
      <c r="J49" s="735">
        <v>2.3332999999999999</v>
      </c>
      <c r="K49" s="735">
        <v>2.3332999999999999</v>
      </c>
      <c r="L49" s="735">
        <v>2.3332999999999999</v>
      </c>
      <c r="M49" s="735">
        <v>2.3332999999999999</v>
      </c>
      <c r="N49" s="735">
        <v>1.6667000000000001</v>
      </c>
      <c r="O49" s="735">
        <f>+Factores!F49</f>
        <v>1.6667000000000001</v>
      </c>
      <c r="Q49" s="735">
        <v>2.3332999999999999</v>
      </c>
      <c r="R49" s="735">
        <v>2.3332999999999999</v>
      </c>
      <c r="S49" s="735">
        <v>2.3332999999999999</v>
      </c>
      <c r="T49" s="735">
        <v>1.6667000000000001</v>
      </c>
      <c r="V49" s="735">
        <f t="shared" si="8"/>
        <v>0</v>
      </c>
      <c r="W49" s="735">
        <f t="shared" si="9"/>
        <v>0</v>
      </c>
      <c r="X49" s="735">
        <f t="shared" si="10"/>
        <v>0</v>
      </c>
      <c r="Y49" s="735">
        <f t="shared" si="11"/>
        <v>0</v>
      </c>
    </row>
    <row r="50" spans="1:25">
      <c r="A50" s="778" t="s">
        <v>344</v>
      </c>
      <c r="B50" s="732">
        <v>0</v>
      </c>
      <c r="C50" s="732">
        <v>0</v>
      </c>
      <c r="D50" s="733">
        <v>0</v>
      </c>
      <c r="E50" s="735">
        <v>0</v>
      </c>
      <c r="F50" s="735">
        <v>1</v>
      </c>
      <c r="G50" s="735">
        <v>1</v>
      </c>
      <c r="H50" s="735">
        <v>1</v>
      </c>
      <c r="I50" s="735">
        <v>1</v>
      </c>
      <c r="J50" s="735">
        <v>0.92859999999999998</v>
      </c>
      <c r="K50" s="735">
        <v>0.92859999999999998</v>
      </c>
      <c r="L50" s="735">
        <v>0.92859999999999998</v>
      </c>
      <c r="M50" s="735">
        <v>0.92859999999999998</v>
      </c>
      <c r="N50" s="735">
        <v>0.92859999999999998</v>
      </c>
      <c r="O50" s="735">
        <f>+Factores!F50</f>
        <v>0.92859999999999998</v>
      </c>
      <c r="Q50" s="735">
        <v>0.92859999999999998</v>
      </c>
      <c r="R50" s="735">
        <v>0.92859999999999998</v>
      </c>
      <c r="S50" s="735">
        <v>0.92859999999999998</v>
      </c>
      <c r="T50" s="735">
        <v>0.92859999999999998</v>
      </c>
      <c r="V50" s="735">
        <f t="shared" si="8"/>
        <v>0</v>
      </c>
      <c r="W50" s="735">
        <f t="shared" si="9"/>
        <v>0</v>
      </c>
      <c r="X50" s="735">
        <f t="shared" si="10"/>
        <v>0</v>
      </c>
      <c r="Y50" s="735">
        <f t="shared" si="11"/>
        <v>0</v>
      </c>
    </row>
    <row r="51" spans="1:25">
      <c r="A51" s="778" t="s">
        <v>280</v>
      </c>
      <c r="B51" s="732">
        <v>2</v>
      </c>
      <c r="C51" s="732">
        <v>2</v>
      </c>
      <c r="D51" s="733">
        <v>2</v>
      </c>
      <c r="E51" s="735">
        <v>2</v>
      </c>
      <c r="F51" s="735">
        <v>1</v>
      </c>
      <c r="G51" s="735">
        <v>1</v>
      </c>
      <c r="H51" s="735">
        <v>1</v>
      </c>
      <c r="I51" s="735">
        <v>1</v>
      </c>
      <c r="J51" s="735">
        <v>0</v>
      </c>
      <c r="K51" s="735">
        <v>0</v>
      </c>
      <c r="L51" s="735">
        <v>0</v>
      </c>
      <c r="M51" s="735">
        <v>0</v>
      </c>
      <c r="N51" s="735">
        <v>0</v>
      </c>
      <c r="O51" s="735">
        <f>+Factores!F51</f>
        <v>0</v>
      </c>
      <c r="Q51" s="735">
        <v>0</v>
      </c>
      <c r="R51" s="735">
        <v>0</v>
      </c>
      <c r="S51" s="735">
        <v>0</v>
      </c>
      <c r="T51" s="735">
        <v>0</v>
      </c>
      <c r="V51" s="735">
        <f t="shared" si="8"/>
        <v>0</v>
      </c>
      <c r="W51" s="735">
        <f t="shared" si="9"/>
        <v>0</v>
      </c>
      <c r="X51" s="735">
        <f t="shared" si="10"/>
        <v>0</v>
      </c>
      <c r="Y51" s="735">
        <f t="shared" si="11"/>
        <v>0</v>
      </c>
    </row>
    <row r="52" spans="1:25">
      <c r="A52" s="778" t="s">
        <v>345</v>
      </c>
      <c r="B52" s="732">
        <v>0</v>
      </c>
      <c r="C52" s="732">
        <v>0</v>
      </c>
      <c r="D52" s="733">
        <v>0</v>
      </c>
      <c r="E52" s="735">
        <v>0</v>
      </c>
      <c r="F52" s="735">
        <v>1</v>
      </c>
      <c r="G52" s="735">
        <v>1</v>
      </c>
      <c r="H52" s="735">
        <v>1</v>
      </c>
      <c r="I52" s="735">
        <v>1</v>
      </c>
      <c r="J52" s="735">
        <v>0.8</v>
      </c>
      <c r="K52" s="735">
        <v>0.8</v>
      </c>
      <c r="L52" s="735">
        <v>0.8</v>
      </c>
      <c r="M52" s="735">
        <v>0.8</v>
      </c>
      <c r="N52" s="735">
        <v>1</v>
      </c>
      <c r="O52" s="735">
        <f>+Factores!F52</f>
        <v>1</v>
      </c>
      <c r="Q52" s="735">
        <v>0.8</v>
      </c>
      <c r="R52" s="735">
        <v>0.8</v>
      </c>
      <c r="S52" s="735">
        <v>0.8</v>
      </c>
      <c r="T52" s="735">
        <v>1</v>
      </c>
      <c r="V52" s="735">
        <f t="shared" si="8"/>
        <v>0</v>
      </c>
      <c r="W52" s="735">
        <f t="shared" si="9"/>
        <v>0</v>
      </c>
      <c r="X52" s="735">
        <f t="shared" si="10"/>
        <v>0</v>
      </c>
      <c r="Y52" s="735">
        <f t="shared" si="11"/>
        <v>0</v>
      </c>
    </row>
    <row r="53" spans="1:25">
      <c r="A53" s="778" t="s">
        <v>346</v>
      </c>
      <c r="B53" s="732">
        <v>0</v>
      </c>
      <c r="C53" s="732">
        <v>0</v>
      </c>
      <c r="D53" s="733">
        <v>0</v>
      </c>
      <c r="E53" s="735">
        <v>0</v>
      </c>
      <c r="F53" s="735">
        <v>1</v>
      </c>
      <c r="G53" s="735">
        <v>1</v>
      </c>
      <c r="H53" s="735">
        <v>1</v>
      </c>
      <c r="I53" s="735">
        <v>1</v>
      </c>
      <c r="J53" s="735">
        <v>0.8</v>
      </c>
      <c r="K53" s="735">
        <v>0.8</v>
      </c>
      <c r="L53" s="735">
        <v>0.8</v>
      </c>
      <c r="M53" s="735">
        <v>0.8</v>
      </c>
      <c r="N53" s="735">
        <v>1</v>
      </c>
      <c r="O53" s="735">
        <f>+Factores!F53</f>
        <v>1</v>
      </c>
      <c r="Q53" s="735">
        <v>0.8</v>
      </c>
      <c r="R53" s="735">
        <v>0.8</v>
      </c>
      <c r="S53" s="735">
        <v>0.8</v>
      </c>
      <c r="T53" s="735">
        <v>1</v>
      </c>
      <c r="V53" s="735">
        <f t="shared" si="8"/>
        <v>0</v>
      </c>
      <c r="W53" s="735">
        <f t="shared" si="9"/>
        <v>0</v>
      </c>
      <c r="X53" s="735">
        <f t="shared" si="10"/>
        <v>0</v>
      </c>
      <c r="Y53" s="735">
        <f t="shared" si="11"/>
        <v>0</v>
      </c>
    </row>
    <row r="54" spans="1:25">
      <c r="A54" s="778" t="s">
        <v>347</v>
      </c>
      <c r="B54" s="732">
        <v>0</v>
      </c>
      <c r="C54" s="732">
        <v>0</v>
      </c>
      <c r="D54" s="733">
        <v>0</v>
      </c>
      <c r="E54" s="735">
        <v>0</v>
      </c>
      <c r="F54" s="735">
        <v>1</v>
      </c>
      <c r="G54" s="735">
        <v>1</v>
      </c>
      <c r="H54" s="735">
        <v>1</v>
      </c>
      <c r="I54" s="735">
        <v>1</v>
      </c>
      <c r="J54" s="735">
        <v>0.66669999999999996</v>
      </c>
      <c r="K54" s="735">
        <v>0.66669999999999996</v>
      </c>
      <c r="L54" s="735">
        <v>0.66669999999999996</v>
      </c>
      <c r="M54" s="735">
        <v>0.66669999999999996</v>
      </c>
      <c r="N54" s="735">
        <v>0.33329999999999999</v>
      </c>
      <c r="O54" s="735">
        <f>+Factores!F54</f>
        <v>0.33329999999999999</v>
      </c>
      <c r="Q54" s="735">
        <v>0.66669999999999996</v>
      </c>
      <c r="R54" s="735">
        <v>0.66669999999999996</v>
      </c>
      <c r="S54" s="735">
        <v>0.66669999999999996</v>
      </c>
      <c r="T54" s="735">
        <v>0.33329999999999999</v>
      </c>
      <c r="V54" s="735">
        <f t="shared" si="8"/>
        <v>0</v>
      </c>
      <c r="W54" s="735">
        <f t="shared" si="9"/>
        <v>0</v>
      </c>
      <c r="X54" s="735">
        <f t="shared" si="10"/>
        <v>0</v>
      </c>
      <c r="Y54" s="735">
        <f t="shared" si="11"/>
        <v>0</v>
      </c>
    </row>
    <row r="55" spans="1:25">
      <c r="A55" s="781" t="s">
        <v>350</v>
      </c>
      <c r="B55" s="732" t="s">
        <v>224</v>
      </c>
      <c r="C55" s="732" t="s">
        <v>224</v>
      </c>
      <c r="D55" s="733" t="s">
        <v>224</v>
      </c>
      <c r="E55" s="735" t="s">
        <v>224</v>
      </c>
      <c r="F55" s="735" t="s">
        <v>224</v>
      </c>
      <c r="G55" s="735" t="s">
        <v>224</v>
      </c>
      <c r="H55" s="735" t="s">
        <v>224</v>
      </c>
      <c r="I55" s="735" t="s">
        <v>224</v>
      </c>
      <c r="J55" s="735" t="s">
        <v>224</v>
      </c>
      <c r="K55" s="735" t="s">
        <v>224</v>
      </c>
      <c r="L55" s="735" t="s">
        <v>224</v>
      </c>
      <c r="M55" s="735" t="s">
        <v>224</v>
      </c>
      <c r="N55" s="735" t="s">
        <v>224</v>
      </c>
      <c r="O55" s="735" t="str">
        <f>+Factores!F55</f>
        <v/>
      </c>
      <c r="Q55" s="735" t="s">
        <v>224</v>
      </c>
      <c r="R55" s="735" t="s">
        <v>224</v>
      </c>
      <c r="S55" s="735" t="s">
        <v>224</v>
      </c>
      <c r="T55" s="735" t="s">
        <v>224</v>
      </c>
      <c r="V55" s="735" t="str">
        <f t="shared" si="8"/>
        <v/>
      </c>
      <c r="W55" s="735" t="str">
        <f t="shared" si="9"/>
        <v/>
      </c>
      <c r="X55" s="735" t="str">
        <f t="shared" si="10"/>
        <v/>
      </c>
      <c r="Y55" s="735" t="str">
        <f t="shared" si="11"/>
        <v/>
      </c>
    </row>
    <row r="56" spans="1:25">
      <c r="A56" s="778" t="s">
        <v>190</v>
      </c>
      <c r="B56" s="732">
        <v>3.5750000000000002</v>
      </c>
      <c r="C56" s="732">
        <v>3.5750000000000002</v>
      </c>
      <c r="D56" s="733">
        <v>3.5750000000000002</v>
      </c>
      <c r="E56" s="735">
        <v>3.5750000000000002</v>
      </c>
      <c r="F56" s="735">
        <v>1</v>
      </c>
      <c r="G56" s="735">
        <v>1</v>
      </c>
      <c r="H56" s="735">
        <v>1</v>
      </c>
      <c r="I56" s="735">
        <v>1</v>
      </c>
      <c r="J56" s="735">
        <v>0.97240000000000004</v>
      </c>
      <c r="K56" s="735">
        <v>0.97240000000000004</v>
      </c>
      <c r="L56" s="735">
        <v>0.97240000000000004</v>
      </c>
      <c r="M56" s="735">
        <v>0.97240000000000004</v>
      </c>
      <c r="N56" s="735">
        <v>0.98619999999999997</v>
      </c>
      <c r="O56" s="735">
        <f>+Factores!F56</f>
        <v>0.98619999999999997</v>
      </c>
      <c r="Q56" s="735">
        <v>0.97240000000000004</v>
      </c>
      <c r="R56" s="735">
        <v>0.97240000000000004</v>
      </c>
      <c r="S56" s="735">
        <v>0.97240000000000004</v>
      </c>
      <c r="T56" s="735">
        <v>0.98619999999999997</v>
      </c>
      <c r="V56" s="735">
        <f t="shared" si="8"/>
        <v>0</v>
      </c>
      <c r="W56" s="735">
        <f t="shared" si="9"/>
        <v>0</v>
      </c>
      <c r="X56" s="735">
        <f t="shared" si="10"/>
        <v>0</v>
      </c>
      <c r="Y56" s="735">
        <f t="shared" si="11"/>
        <v>0</v>
      </c>
    </row>
    <row r="57" spans="1:25">
      <c r="A57" s="781" t="s">
        <v>396</v>
      </c>
      <c r="B57" s="732" t="s">
        <v>224</v>
      </c>
      <c r="C57" s="732" t="s">
        <v>224</v>
      </c>
      <c r="D57" s="733" t="s">
        <v>224</v>
      </c>
      <c r="E57" s="735" t="s">
        <v>224</v>
      </c>
      <c r="F57" s="735" t="s">
        <v>224</v>
      </c>
      <c r="G57" s="735" t="s">
        <v>224</v>
      </c>
      <c r="H57" s="735" t="s">
        <v>224</v>
      </c>
      <c r="I57" s="735" t="s">
        <v>224</v>
      </c>
      <c r="J57" s="735" t="s">
        <v>224</v>
      </c>
      <c r="K57" s="735" t="s">
        <v>224</v>
      </c>
      <c r="L57" s="735" t="s">
        <v>224</v>
      </c>
      <c r="M57" s="735" t="s">
        <v>224</v>
      </c>
      <c r="N57" s="735" t="s">
        <v>224</v>
      </c>
      <c r="O57" s="735" t="str">
        <f>+Factores!F57</f>
        <v/>
      </c>
      <c r="Q57" s="735" t="s">
        <v>224</v>
      </c>
      <c r="R57" s="735" t="s">
        <v>224</v>
      </c>
      <c r="S57" s="735" t="s">
        <v>224</v>
      </c>
      <c r="T57" s="735" t="s">
        <v>224</v>
      </c>
      <c r="V57" s="735" t="str">
        <f t="shared" si="8"/>
        <v/>
      </c>
      <c r="W57" s="735" t="str">
        <f t="shared" si="9"/>
        <v/>
      </c>
      <c r="X57" s="735" t="str">
        <f t="shared" si="10"/>
        <v/>
      </c>
      <c r="Y57" s="735" t="str">
        <f t="shared" si="11"/>
        <v/>
      </c>
    </row>
    <row r="58" spans="1:25">
      <c r="A58" s="778" t="s">
        <v>348</v>
      </c>
      <c r="B58" s="732">
        <v>1.0057</v>
      </c>
      <c r="C58" s="732">
        <v>1.0057</v>
      </c>
      <c r="D58" s="733">
        <v>0.95469999999999999</v>
      </c>
      <c r="E58" s="735">
        <v>0.95469999999999999</v>
      </c>
      <c r="F58" s="735">
        <v>1</v>
      </c>
      <c r="G58" s="735">
        <v>0.9899</v>
      </c>
      <c r="H58" s="735">
        <v>0.9899</v>
      </c>
      <c r="I58" s="735">
        <v>0.9899</v>
      </c>
      <c r="J58" s="735">
        <v>0.9899</v>
      </c>
      <c r="K58" s="735">
        <v>0.9899</v>
      </c>
      <c r="L58" s="735">
        <v>0.9738</v>
      </c>
      <c r="M58" s="735">
        <v>0.9738</v>
      </c>
      <c r="N58" s="735">
        <v>0.97150000000000003</v>
      </c>
      <c r="O58" s="735">
        <f>+Factores!F58</f>
        <v>0.97150000000000003</v>
      </c>
      <c r="Q58" s="735">
        <v>0.9899</v>
      </c>
      <c r="R58" s="735">
        <v>0.9738</v>
      </c>
      <c r="S58" s="735">
        <v>0.9738</v>
      </c>
      <c r="T58" s="735">
        <v>0.97150000000000003</v>
      </c>
      <c r="V58" s="735">
        <f t="shared" si="8"/>
        <v>0</v>
      </c>
      <c r="W58" s="735">
        <f t="shared" si="9"/>
        <v>0</v>
      </c>
      <c r="X58" s="735">
        <f t="shared" si="10"/>
        <v>0</v>
      </c>
      <c r="Y58" s="735">
        <f t="shared" si="11"/>
        <v>0</v>
      </c>
    </row>
    <row r="59" spans="1:25">
      <c r="A59" s="778" t="s">
        <v>349</v>
      </c>
      <c r="B59" s="732">
        <v>1.0057</v>
      </c>
      <c r="C59" s="732">
        <v>1.0057</v>
      </c>
      <c r="D59" s="733">
        <v>0.95469999999999999</v>
      </c>
      <c r="E59" s="735">
        <v>0.95469999999999999</v>
      </c>
      <c r="F59" s="735">
        <v>1</v>
      </c>
      <c r="G59" s="735">
        <v>0.9899</v>
      </c>
      <c r="H59" s="735">
        <v>0.9899</v>
      </c>
      <c r="I59" s="735">
        <v>0.9899</v>
      </c>
      <c r="J59" s="735">
        <v>0.9899</v>
      </c>
      <c r="K59" s="735">
        <v>0.9899</v>
      </c>
      <c r="L59" s="735">
        <v>0.9738</v>
      </c>
      <c r="M59" s="735">
        <v>0.9738</v>
      </c>
      <c r="N59" s="735">
        <v>0.97150000000000003</v>
      </c>
      <c r="O59" s="735">
        <f>+Factores!F59</f>
        <v>0.97150000000000003</v>
      </c>
      <c r="Q59" s="735">
        <v>0.9899</v>
      </c>
      <c r="R59" s="735">
        <v>0.9738</v>
      </c>
      <c r="S59" s="735">
        <v>0.9738</v>
      </c>
      <c r="T59" s="735">
        <v>0.97150000000000003</v>
      </c>
      <c r="V59" s="735">
        <f t="shared" si="8"/>
        <v>0</v>
      </c>
      <c r="W59" s="735">
        <f t="shared" si="9"/>
        <v>0</v>
      </c>
      <c r="X59" s="735">
        <f t="shared" si="10"/>
        <v>0</v>
      </c>
      <c r="Y59" s="735">
        <f t="shared" si="11"/>
        <v>0</v>
      </c>
    </row>
    <row r="60" spans="1:25">
      <c r="A60" s="778" t="s">
        <v>224</v>
      </c>
      <c r="B60" s="732" t="s">
        <v>224</v>
      </c>
      <c r="C60" s="732" t="s">
        <v>224</v>
      </c>
      <c r="D60" s="733" t="s">
        <v>224</v>
      </c>
      <c r="E60" s="735" t="s">
        <v>224</v>
      </c>
      <c r="F60" s="735" t="s">
        <v>224</v>
      </c>
      <c r="G60" s="735" t="s">
        <v>224</v>
      </c>
      <c r="H60" s="735" t="s">
        <v>224</v>
      </c>
      <c r="I60" s="735" t="s">
        <v>224</v>
      </c>
      <c r="J60" s="735" t="s">
        <v>224</v>
      </c>
      <c r="K60" s="735" t="s">
        <v>224</v>
      </c>
      <c r="L60" s="735" t="s">
        <v>224</v>
      </c>
      <c r="M60" s="735" t="s">
        <v>224</v>
      </c>
      <c r="N60" s="735" t="s">
        <v>224</v>
      </c>
      <c r="O60" s="735" t="str">
        <f>+Factores!F60</f>
        <v/>
      </c>
      <c r="Q60" s="735" t="s">
        <v>224</v>
      </c>
      <c r="R60" s="735" t="s">
        <v>224</v>
      </c>
      <c r="S60" s="735" t="s">
        <v>224</v>
      </c>
      <c r="T60" s="735" t="s">
        <v>224</v>
      </c>
      <c r="V60" s="735" t="str">
        <f t="shared" si="8"/>
        <v/>
      </c>
      <c r="W60" s="735" t="str">
        <f t="shared" si="9"/>
        <v/>
      </c>
      <c r="X60" s="735" t="str">
        <f t="shared" si="10"/>
        <v/>
      </c>
      <c r="Y60" s="735" t="str">
        <f t="shared" si="11"/>
        <v/>
      </c>
    </row>
    <row r="61" spans="1:25">
      <c r="A61" s="778"/>
      <c r="B61" s="732" t="s">
        <v>224</v>
      </c>
      <c r="C61" s="732" t="s">
        <v>224</v>
      </c>
      <c r="D61" s="733" t="s">
        <v>224</v>
      </c>
      <c r="E61" s="735" t="s">
        <v>224</v>
      </c>
      <c r="F61" s="735" t="s">
        <v>224</v>
      </c>
      <c r="G61" s="735" t="s">
        <v>224</v>
      </c>
      <c r="H61" s="735" t="s">
        <v>224</v>
      </c>
      <c r="I61" s="735" t="s">
        <v>224</v>
      </c>
      <c r="J61" s="735" t="s">
        <v>224</v>
      </c>
      <c r="K61" s="735" t="s">
        <v>224</v>
      </c>
      <c r="L61" s="735" t="s">
        <v>224</v>
      </c>
      <c r="M61" s="735" t="s">
        <v>224</v>
      </c>
      <c r="N61" s="735" t="s">
        <v>224</v>
      </c>
      <c r="O61" s="735" t="str">
        <f>+Factores!F61</f>
        <v/>
      </c>
      <c r="Q61" s="735" t="s">
        <v>224</v>
      </c>
      <c r="R61" s="735" t="s">
        <v>224</v>
      </c>
      <c r="S61" s="735" t="s">
        <v>224</v>
      </c>
      <c r="T61" s="735" t="s">
        <v>224</v>
      </c>
      <c r="V61" s="735" t="str">
        <f t="shared" si="8"/>
        <v/>
      </c>
      <c r="W61" s="735" t="str">
        <f t="shared" si="9"/>
        <v/>
      </c>
      <c r="X61" s="735" t="str">
        <f t="shared" si="10"/>
        <v/>
      </c>
      <c r="Y61" s="735" t="str">
        <f t="shared" si="11"/>
        <v/>
      </c>
    </row>
    <row r="62" spans="1:25">
      <c r="A62" s="774" t="s">
        <v>725</v>
      </c>
      <c r="B62" s="738" t="s">
        <v>224</v>
      </c>
      <c r="C62" s="738" t="s">
        <v>224</v>
      </c>
      <c r="D62" s="739" t="s">
        <v>224</v>
      </c>
      <c r="E62" s="740" t="s">
        <v>224</v>
      </c>
      <c r="F62" s="740" t="s">
        <v>224</v>
      </c>
      <c r="G62" s="740" t="s">
        <v>224</v>
      </c>
      <c r="H62" s="740" t="s">
        <v>224</v>
      </c>
      <c r="I62" s="740" t="s">
        <v>224</v>
      </c>
      <c r="J62" s="740" t="s">
        <v>224</v>
      </c>
      <c r="K62" s="740" t="s">
        <v>224</v>
      </c>
      <c r="L62" s="740" t="s">
        <v>224</v>
      </c>
      <c r="M62" s="740" t="s">
        <v>224</v>
      </c>
      <c r="N62" s="740" t="s">
        <v>224</v>
      </c>
      <c r="O62" s="740" t="str">
        <f>+Factores!F62</f>
        <v/>
      </c>
      <c r="Q62" s="740" t="s">
        <v>224</v>
      </c>
      <c r="R62" s="740" t="s">
        <v>224</v>
      </c>
      <c r="S62" s="740" t="s">
        <v>224</v>
      </c>
      <c r="T62" s="740" t="s">
        <v>224</v>
      </c>
      <c r="V62" s="740" t="str">
        <f t="shared" si="8"/>
        <v/>
      </c>
      <c r="W62" s="740" t="str">
        <f t="shared" si="9"/>
        <v/>
      </c>
      <c r="X62" s="740" t="str">
        <f t="shared" si="10"/>
        <v/>
      </c>
      <c r="Y62" s="740" t="str">
        <f t="shared" si="11"/>
        <v/>
      </c>
    </row>
    <row r="63" spans="1:25">
      <c r="A63" s="778" t="s">
        <v>128</v>
      </c>
      <c r="B63" s="736">
        <v>1.0277000000000001</v>
      </c>
      <c r="C63" s="736">
        <v>1.0277000000000001</v>
      </c>
      <c r="D63" s="737">
        <v>1.0387999999999999</v>
      </c>
      <c r="E63" s="735">
        <v>1.0387999999999999</v>
      </c>
      <c r="F63" s="735">
        <v>1.0369999999999999</v>
      </c>
      <c r="G63" s="735">
        <v>1.0378000000000001</v>
      </c>
      <c r="H63" s="735">
        <v>1.0378000000000001</v>
      </c>
      <c r="I63" s="735">
        <v>1.0378000000000001</v>
      </c>
      <c r="J63" s="735">
        <v>1.0378000000000001</v>
      </c>
      <c r="K63" s="735">
        <v>1.0378000000000001</v>
      </c>
      <c r="L63" s="735">
        <v>1.0378000000000001</v>
      </c>
      <c r="M63" s="735">
        <v>1.0378000000000001</v>
      </c>
      <c r="N63" s="735">
        <v>1.0378000000000001</v>
      </c>
      <c r="O63" s="735">
        <f>+Factores!F63</f>
        <v>1.0378000000000001</v>
      </c>
      <c r="Q63" s="735">
        <v>1.0378000000000001</v>
      </c>
      <c r="R63" s="735">
        <v>1.0378000000000001</v>
      </c>
      <c r="S63" s="735">
        <v>1.0378000000000001</v>
      </c>
      <c r="T63" s="735">
        <v>1.0378000000000001</v>
      </c>
      <c r="V63" s="735">
        <f t="shared" si="8"/>
        <v>0</v>
      </c>
      <c r="W63" s="735">
        <f t="shared" si="9"/>
        <v>0</v>
      </c>
      <c r="X63" s="735">
        <f t="shared" si="10"/>
        <v>0</v>
      </c>
      <c r="Y63" s="735">
        <f t="shared" si="11"/>
        <v>0</v>
      </c>
    </row>
    <row r="64" spans="1:25">
      <c r="A64" s="778" t="s">
        <v>129</v>
      </c>
      <c r="B64" s="736">
        <v>1.0355000000000001</v>
      </c>
      <c r="C64" s="736">
        <v>1.0355000000000001</v>
      </c>
      <c r="D64" s="737">
        <v>1.0479000000000001</v>
      </c>
      <c r="E64" s="735">
        <v>1.0479000000000001</v>
      </c>
      <c r="F64" s="735">
        <v>1.048</v>
      </c>
      <c r="G64" s="735">
        <v>1.0489999999999999</v>
      </c>
      <c r="H64" s="735">
        <v>1.0489999999999999</v>
      </c>
      <c r="I64" s="735">
        <v>1.0489999999999999</v>
      </c>
      <c r="J64" s="735">
        <v>1.0489999999999999</v>
      </c>
      <c r="K64" s="735">
        <v>1.0489999999999999</v>
      </c>
      <c r="L64" s="735">
        <v>1.0489999999999999</v>
      </c>
      <c r="M64" s="735">
        <v>1.0489999999999999</v>
      </c>
      <c r="N64" s="735">
        <v>1.0489999999999999</v>
      </c>
      <c r="O64" s="735">
        <f>+Factores!F64</f>
        <v>1.0489999999999999</v>
      </c>
      <c r="Q64" s="735">
        <v>1.0489999999999999</v>
      </c>
      <c r="R64" s="735">
        <v>1.0489999999999999</v>
      </c>
      <c r="S64" s="735">
        <v>1.0489999999999999</v>
      </c>
      <c r="T64" s="735">
        <v>1.0489999999999999</v>
      </c>
      <c r="V64" s="735">
        <f t="shared" si="8"/>
        <v>0</v>
      </c>
      <c r="W64" s="735">
        <f t="shared" si="9"/>
        <v>0</v>
      </c>
      <c r="X64" s="735">
        <f t="shared" si="10"/>
        <v>0</v>
      </c>
      <c r="Y64" s="735">
        <f t="shared" si="11"/>
        <v>0</v>
      </c>
    </row>
    <row r="65" spans="1:25">
      <c r="A65" s="778" t="s">
        <v>130</v>
      </c>
      <c r="B65" s="736">
        <v>1.0269999999999999</v>
      </c>
      <c r="C65" s="736">
        <v>1.0269999999999999</v>
      </c>
      <c r="D65" s="737">
        <v>1.0373000000000001</v>
      </c>
      <c r="E65" s="735">
        <v>1.0373000000000001</v>
      </c>
      <c r="F65" s="735">
        <v>1.0364</v>
      </c>
      <c r="G65" s="735">
        <v>1.0371999999999999</v>
      </c>
      <c r="H65" s="735">
        <v>1.0371999999999999</v>
      </c>
      <c r="I65" s="735">
        <v>1.0371999999999999</v>
      </c>
      <c r="J65" s="735">
        <v>1.0371999999999999</v>
      </c>
      <c r="K65" s="735">
        <v>1.0371999999999999</v>
      </c>
      <c r="L65" s="735">
        <v>1.0371999999999999</v>
      </c>
      <c r="M65" s="735">
        <v>1.0371999999999999</v>
      </c>
      <c r="N65" s="735">
        <v>1.0371999999999999</v>
      </c>
      <c r="O65" s="735">
        <f>+Factores!F65</f>
        <v>1.0371999999999999</v>
      </c>
      <c r="Q65" s="735">
        <v>1.0371999999999999</v>
      </c>
      <c r="R65" s="735">
        <v>1.0371999999999999</v>
      </c>
      <c r="S65" s="735">
        <v>1.0371999999999999</v>
      </c>
      <c r="T65" s="735">
        <v>1.0371999999999999</v>
      </c>
      <c r="V65" s="735">
        <f t="shared" si="8"/>
        <v>0</v>
      </c>
      <c r="W65" s="735">
        <f t="shared" si="9"/>
        <v>0</v>
      </c>
      <c r="X65" s="735">
        <f t="shared" si="10"/>
        <v>0</v>
      </c>
      <c r="Y65" s="735">
        <f t="shared" si="11"/>
        <v>0</v>
      </c>
    </row>
    <row r="66" spans="1:25">
      <c r="A66" s="778" t="s">
        <v>131</v>
      </c>
      <c r="B66" s="736">
        <v>1.0225</v>
      </c>
      <c r="C66" s="736">
        <v>1.0225</v>
      </c>
      <c r="D66" s="737">
        <v>1.0323</v>
      </c>
      <c r="E66" s="735">
        <v>1.0323</v>
      </c>
      <c r="F66" s="735">
        <v>1.0318000000000001</v>
      </c>
      <c r="G66" s="735">
        <v>1.0327</v>
      </c>
      <c r="H66" s="735">
        <v>1.0327</v>
      </c>
      <c r="I66" s="735">
        <v>1.0327</v>
      </c>
      <c r="J66" s="735">
        <v>1.0327</v>
      </c>
      <c r="K66" s="735">
        <v>1.0327</v>
      </c>
      <c r="L66" s="735">
        <v>1.0327</v>
      </c>
      <c r="M66" s="735">
        <v>1.0327</v>
      </c>
      <c r="N66" s="735">
        <v>1.0327</v>
      </c>
      <c r="O66" s="735">
        <f>+Factores!F66</f>
        <v>1.0327</v>
      </c>
      <c r="Q66" s="735">
        <v>1.0327</v>
      </c>
      <c r="R66" s="735">
        <v>1.0327</v>
      </c>
      <c r="S66" s="735">
        <v>1.0327</v>
      </c>
      <c r="T66" s="735">
        <v>1.0327</v>
      </c>
      <c r="V66" s="735">
        <f t="shared" si="8"/>
        <v>0</v>
      </c>
      <c r="W66" s="735">
        <f t="shared" si="9"/>
        <v>0</v>
      </c>
      <c r="X66" s="735">
        <f t="shared" si="10"/>
        <v>0</v>
      </c>
      <c r="Y66" s="735">
        <f t="shared" si="11"/>
        <v>0</v>
      </c>
    </row>
    <row r="67" spans="1:25">
      <c r="A67" s="778" t="s">
        <v>132</v>
      </c>
      <c r="B67" s="736">
        <v>1.0150999999999999</v>
      </c>
      <c r="C67" s="736">
        <v>1.0150999999999999</v>
      </c>
      <c r="D67" s="737">
        <v>1.0202</v>
      </c>
      <c r="E67" s="735">
        <v>1.0202</v>
      </c>
      <c r="F67" s="735">
        <v>1.0187999999999999</v>
      </c>
      <c r="G67" s="735">
        <v>1.0196000000000001</v>
      </c>
      <c r="H67" s="735">
        <v>1.0196000000000001</v>
      </c>
      <c r="I67" s="735">
        <v>1.0196000000000001</v>
      </c>
      <c r="J67" s="735">
        <v>1.0196000000000001</v>
      </c>
      <c r="K67" s="735">
        <v>1.0196000000000001</v>
      </c>
      <c r="L67" s="735">
        <v>1.0196000000000001</v>
      </c>
      <c r="M67" s="735">
        <v>1.0196000000000001</v>
      </c>
      <c r="N67" s="735">
        <v>1.0196000000000001</v>
      </c>
      <c r="O67" s="735">
        <f>+Factores!F67</f>
        <v>1.0196000000000001</v>
      </c>
      <c r="Q67" s="735">
        <v>1.0196000000000001</v>
      </c>
      <c r="R67" s="735">
        <v>1.0196000000000001</v>
      </c>
      <c r="S67" s="735">
        <v>1.0196000000000001</v>
      </c>
      <c r="T67" s="735">
        <v>1.0196000000000001</v>
      </c>
      <c r="V67" s="735">
        <f t="shared" si="8"/>
        <v>0</v>
      </c>
      <c r="W67" s="735">
        <f t="shared" si="9"/>
        <v>0</v>
      </c>
      <c r="X67" s="735">
        <f t="shared" si="10"/>
        <v>0</v>
      </c>
      <c r="Y67" s="735">
        <f t="shared" si="11"/>
        <v>0</v>
      </c>
    </row>
    <row r="68" spans="1:25">
      <c r="A68" s="778" t="s">
        <v>133</v>
      </c>
      <c r="B68" s="736">
        <v>1.0078</v>
      </c>
      <c r="C68" s="736">
        <v>1.0078</v>
      </c>
      <c r="D68" s="737">
        <v>1.0074000000000001</v>
      </c>
      <c r="E68" s="735">
        <v>1.0074000000000001</v>
      </c>
      <c r="F68" s="735">
        <v>1.0038</v>
      </c>
      <c r="G68" s="735">
        <v>1.0044</v>
      </c>
      <c r="H68" s="735">
        <v>1.0044</v>
      </c>
      <c r="I68" s="735">
        <v>1.0044</v>
      </c>
      <c r="J68" s="735">
        <v>1.0044</v>
      </c>
      <c r="K68" s="735">
        <v>1.0044</v>
      </c>
      <c r="L68" s="735">
        <v>1.0044</v>
      </c>
      <c r="M68" s="735">
        <v>1.0044</v>
      </c>
      <c r="N68" s="735">
        <v>1.0044</v>
      </c>
      <c r="O68" s="735">
        <f>+Factores!F68</f>
        <v>1.0044</v>
      </c>
      <c r="Q68" s="735">
        <v>1.0044</v>
      </c>
      <c r="R68" s="735">
        <v>1.0044</v>
      </c>
      <c r="S68" s="735">
        <v>1.0044</v>
      </c>
      <c r="T68" s="735">
        <v>1.0044</v>
      </c>
      <c r="V68" s="735">
        <f t="shared" si="8"/>
        <v>0</v>
      </c>
      <c r="W68" s="735">
        <f t="shared" si="9"/>
        <v>0</v>
      </c>
      <c r="X68" s="735">
        <f t="shared" si="10"/>
        <v>0</v>
      </c>
      <c r="Y68" s="735">
        <f t="shared" si="11"/>
        <v>0</v>
      </c>
    </row>
    <row r="69" spans="1:25">
      <c r="A69" s="778" t="s">
        <v>134</v>
      </c>
      <c r="B69" s="736">
        <v>1.0087999999999999</v>
      </c>
      <c r="C69" s="736">
        <v>1.0087999999999999</v>
      </c>
      <c r="D69" s="737">
        <v>1.0087999999999999</v>
      </c>
      <c r="E69" s="735">
        <v>1.0087999999999999</v>
      </c>
      <c r="F69" s="735">
        <v>1.0055000000000001</v>
      </c>
      <c r="G69" s="735">
        <v>1.0062</v>
      </c>
      <c r="H69" s="735">
        <v>1.0062</v>
      </c>
      <c r="I69" s="735">
        <v>1.0062</v>
      </c>
      <c r="J69" s="735">
        <v>1.0062</v>
      </c>
      <c r="K69" s="735">
        <v>1.0062</v>
      </c>
      <c r="L69" s="735">
        <v>1.0062</v>
      </c>
      <c r="M69" s="735">
        <v>1.0062</v>
      </c>
      <c r="N69" s="735">
        <v>1.0062</v>
      </c>
      <c r="O69" s="735">
        <f>+Factores!F69</f>
        <v>1.0062</v>
      </c>
      <c r="Q69" s="735">
        <v>1.0062</v>
      </c>
      <c r="R69" s="735">
        <v>1.0062</v>
      </c>
      <c r="S69" s="735">
        <v>1.0062</v>
      </c>
      <c r="T69" s="735">
        <v>1.0062</v>
      </c>
      <c r="V69" s="735">
        <f t="shared" si="8"/>
        <v>0</v>
      </c>
      <c r="W69" s="735">
        <f t="shared" si="9"/>
        <v>0</v>
      </c>
      <c r="X69" s="735">
        <f t="shared" si="10"/>
        <v>0</v>
      </c>
      <c r="Y69" s="735">
        <f t="shared" si="11"/>
        <v>0</v>
      </c>
    </row>
    <row r="70" spans="1:25">
      <c r="A70" s="778" t="s">
        <v>135</v>
      </c>
      <c r="B70" s="736">
        <v>1.0244</v>
      </c>
      <c r="C70" s="736">
        <v>1.0244</v>
      </c>
      <c r="D70" s="737">
        <v>1.0346</v>
      </c>
      <c r="E70" s="735">
        <v>1.0346</v>
      </c>
      <c r="F70" s="735">
        <v>1.0327</v>
      </c>
      <c r="G70" s="735">
        <v>1.0335000000000001</v>
      </c>
      <c r="H70" s="735">
        <v>1.0335000000000001</v>
      </c>
      <c r="I70" s="735">
        <v>1.0335000000000001</v>
      </c>
      <c r="J70" s="735">
        <v>1.0335000000000001</v>
      </c>
      <c r="K70" s="735">
        <v>1.0335000000000001</v>
      </c>
      <c r="L70" s="735">
        <v>1.0335000000000001</v>
      </c>
      <c r="M70" s="735">
        <v>1.0335000000000001</v>
      </c>
      <c r="N70" s="735">
        <v>1.0335000000000001</v>
      </c>
      <c r="O70" s="735">
        <f>+Factores!F70</f>
        <v>1.0335000000000001</v>
      </c>
      <c r="Q70" s="735">
        <v>1.0335000000000001</v>
      </c>
      <c r="R70" s="735">
        <v>1.0335000000000001</v>
      </c>
      <c r="S70" s="735">
        <v>1.0335000000000001</v>
      </c>
      <c r="T70" s="735">
        <v>1.0335000000000001</v>
      </c>
      <c r="V70" s="735">
        <f t="shared" si="8"/>
        <v>0</v>
      </c>
      <c r="W70" s="735">
        <f t="shared" si="9"/>
        <v>0</v>
      </c>
      <c r="X70" s="735">
        <f t="shared" si="10"/>
        <v>0</v>
      </c>
      <c r="Y70" s="735">
        <f t="shared" si="11"/>
        <v>0</v>
      </c>
    </row>
    <row r="71" spans="1:25">
      <c r="A71" s="778" t="s">
        <v>136</v>
      </c>
      <c r="B71" s="736">
        <v>1.0212000000000001</v>
      </c>
      <c r="C71" s="736">
        <v>1.0212000000000001</v>
      </c>
      <c r="D71" s="737">
        <v>1.0284</v>
      </c>
      <c r="E71" s="735">
        <v>1.0284</v>
      </c>
      <c r="F71" s="735">
        <v>1.0266999999999999</v>
      </c>
      <c r="G71" s="735">
        <v>1.0275000000000001</v>
      </c>
      <c r="H71" s="735">
        <v>1.0275000000000001</v>
      </c>
      <c r="I71" s="735">
        <v>1.0275000000000001</v>
      </c>
      <c r="J71" s="735">
        <v>1.0275000000000001</v>
      </c>
      <c r="K71" s="735">
        <v>1.0275000000000001</v>
      </c>
      <c r="L71" s="735">
        <v>1.0275000000000001</v>
      </c>
      <c r="M71" s="735">
        <v>1.0275000000000001</v>
      </c>
      <c r="N71" s="735">
        <v>1.0275000000000001</v>
      </c>
      <c r="O71" s="735">
        <f>+Factores!F71</f>
        <v>1.0275000000000001</v>
      </c>
      <c r="Q71" s="735">
        <v>1.0275000000000001</v>
      </c>
      <c r="R71" s="735">
        <v>1.0275000000000001</v>
      </c>
      <c r="S71" s="735">
        <v>1.0275000000000001</v>
      </c>
      <c r="T71" s="735">
        <v>1.0275000000000001</v>
      </c>
      <c r="V71" s="735">
        <f t="shared" si="8"/>
        <v>0</v>
      </c>
      <c r="W71" s="735">
        <f t="shared" si="9"/>
        <v>0</v>
      </c>
      <c r="X71" s="735">
        <f t="shared" si="10"/>
        <v>0</v>
      </c>
      <c r="Y71" s="735">
        <f t="shared" si="11"/>
        <v>0</v>
      </c>
    </row>
    <row r="72" spans="1:25">
      <c r="A72" s="778" t="s">
        <v>137</v>
      </c>
      <c r="B72" s="736">
        <v>1.0203</v>
      </c>
      <c r="C72" s="736">
        <v>1.0203</v>
      </c>
      <c r="D72" s="737">
        <v>1.0290999999999999</v>
      </c>
      <c r="E72" s="735">
        <v>1.0290999999999999</v>
      </c>
      <c r="F72" s="735">
        <v>1.0281</v>
      </c>
      <c r="G72" s="735">
        <v>1.0288999999999999</v>
      </c>
      <c r="H72" s="735">
        <v>1.0288999999999999</v>
      </c>
      <c r="I72" s="735">
        <v>1.0288999999999999</v>
      </c>
      <c r="J72" s="735">
        <v>1.0288999999999999</v>
      </c>
      <c r="K72" s="735">
        <v>1.0288999999999999</v>
      </c>
      <c r="L72" s="735">
        <v>1.0288999999999999</v>
      </c>
      <c r="M72" s="735">
        <v>1.0288999999999999</v>
      </c>
      <c r="N72" s="735">
        <v>1.0288999999999999</v>
      </c>
      <c r="O72" s="735">
        <f>+Factores!F72</f>
        <v>1.0288999999999999</v>
      </c>
      <c r="Q72" s="735">
        <v>1.0288999999999999</v>
      </c>
      <c r="R72" s="735">
        <v>1.0288999999999999</v>
      </c>
      <c r="S72" s="735">
        <v>1.0288999999999999</v>
      </c>
      <c r="T72" s="735">
        <v>1.0288999999999999</v>
      </c>
      <c r="V72" s="735">
        <f t="shared" si="8"/>
        <v>0</v>
      </c>
      <c r="W72" s="735">
        <f t="shared" si="9"/>
        <v>0</v>
      </c>
      <c r="X72" s="735">
        <f t="shared" si="10"/>
        <v>0</v>
      </c>
      <c r="Y72" s="735">
        <f t="shared" si="11"/>
        <v>0</v>
      </c>
    </row>
    <row r="73" spans="1:25">
      <c r="A73" s="778" t="s">
        <v>138</v>
      </c>
      <c r="B73" s="736">
        <v>1.0313000000000001</v>
      </c>
      <c r="C73" s="736">
        <v>1.0313000000000001</v>
      </c>
      <c r="D73" s="737">
        <v>1.0424</v>
      </c>
      <c r="E73" s="735">
        <v>1.0424</v>
      </c>
      <c r="F73" s="735">
        <v>1.0424</v>
      </c>
      <c r="G73" s="735">
        <v>1.0432999999999999</v>
      </c>
      <c r="H73" s="735">
        <v>1.0432999999999999</v>
      </c>
      <c r="I73" s="735">
        <v>1.0432999999999999</v>
      </c>
      <c r="J73" s="735">
        <v>1.0432999999999999</v>
      </c>
      <c r="K73" s="735">
        <v>1.0432999999999999</v>
      </c>
      <c r="L73" s="735">
        <v>1.0432999999999999</v>
      </c>
      <c r="M73" s="735">
        <v>1.0432999999999999</v>
      </c>
      <c r="N73" s="735">
        <v>1.0432999999999999</v>
      </c>
      <c r="O73" s="735">
        <f>+Factores!F73</f>
        <v>1.0432999999999999</v>
      </c>
      <c r="Q73" s="735">
        <v>1.0432999999999999</v>
      </c>
      <c r="R73" s="735">
        <v>1.0432999999999999</v>
      </c>
      <c r="S73" s="735">
        <v>1.0432999999999999</v>
      </c>
      <c r="T73" s="735">
        <v>1.0432999999999999</v>
      </c>
      <c r="V73" s="735">
        <f t="shared" ref="V73:V104" si="12">IF(ISERR(K73-Q73),"",K73-Q73)</f>
        <v>0</v>
      </c>
      <c r="W73" s="735">
        <f t="shared" ref="W73:W104" si="13">IF(ISERR(L73-R73),"",L73-R73)</f>
        <v>0</v>
      </c>
      <c r="X73" s="735">
        <f t="shared" ref="X73:X104" si="14">IF(ISERR(M73-S73),"",M73-S73)</f>
        <v>0</v>
      </c>
      <c r="Y73" s="735">
        <f t="shared" ref="Y73:Y104" si="15">IF(ISERR(N73-T73),"",N73-T73)</f>
        <v>0</v>
      </c>
    </row>
    <row r="74" spans="1:25">
      <c r="A74" s="778" t="s">
        <v>139</v>
      </c>
      <c r="B74" s="736">
        <v>0.98850000000000005</v>
      </c>
      <c r="C74" s="736">
        <v>0.98850000000000005</v>
      </c>
      <c r="D74" s="737">
        <v>0.98080000000000001</v>
      </c>
      <c r="E74" s="735">
        <v>0.98080000000000001</v>
      </c>
      <c r="F74" s="735">
        <v>0.97430000000000005</v>
      </c>
      <c r="G74" s="735">
        <v>0.9748</v>
      </c>
      <c r="H74" s="735">
        <v>0.9748</v>
      </c>
      <c r="I74" s="735">
        <v>0.9748</v>
      </c>
      <c r="J74" s="735">
        <v>0.9748</v>
      </c>
      <c r="K74" s="735">
        <v>0.9748</v>
      </c>
      <c r="L74" s="735">
        <v>0.9748</v>
      </c>
      <c r="M74" s="735">
        <v>0.9748</v>
      </c>
      <c r="N74" s="735">
        <v>0.9748</v>
      </c>
      <c r="O74" s="735">
        <f>+Factores!F74</f>
        <v>0.9748</v>
      </c>
      <c r="Q74" s="735">
        <v>0.9748</v>
      </c>
      <c r="R74" s="735">
        <v>0.9748</v>
      </c>
      <c r="S74" s="735">
        <v>0.9748</v>
      </c>
      <c r="T74" s="735">
        <v>0.9748</v>
      </c>
      <c r="V74" s="735">
        <f t="shared" si="12"/>
        <v>0</v>
      </c>
      <c r="W74" s="735">
        <f t="shared" si="13"/>
        <v>0</v>
      </c>
      <c r="X74" s="735">
        <f t="shared" si="14"/>
        <v>0</v>
      </c>
      <c r="Y74" s="735">
        <f t="shared" si="15"/>
        <v>0</v>
      </c>
    </row>
    <row r="75" spans="1:25">
      <c r="A75" s="778" t="s">
        <v>140</v>
      </c>
      <c r="B75" s="736">
        <v>1.0266999999999999</v>
      </c>
      <c r="C75" s="736">
        <v>1.0266999999999999</v>
      </c>
      <c r="D75" s="737">
        <v>1.0367999999999999</v>
      </c>
      <c r="E75" s="735">
        <v>1.0367999999999999</v>
      </c>
      <c r="F75" s="735">
        <v>1.0362</v>
      </c>
      <c r="G75" s="735">
        <v>1.0370999999999999</v>
      </c>
      <c r="H75" s="735">
        <v>1.0370999999999999</v>
      </c>
      <c r="I75" s="735">
        <v>1.0370999999999999</v>
      </c>
      <c r="J75" s="735">
        <v>1.0370999999999999</v>
      </c>
      <c r="K75" s="735">
        <v>1.0370999999999999</v>
      </c>
      <c r="L75" s="735">
        <v>1.0370999999999999</v>
      </c>
      <c r="M75" s="735">
        <v>1.0370999999999999</v>
      </c>
      <c r="N75" s="735">
        <v>1.0370999999999999</v>
      </c>
      <c r="O75" s="735">
        <f>+Factores!F75</f>
        <v>1.0370999999999999</v>
      </c>
      <c r="Q75" s="735">
        <v>1.0370999999999999</v>
      </c>
      <c r="R75" s="735">
        <v>1.0370999999999999</v>
      </c>
      <c r="S75" s="735">
        <v>1.0370999999999999</v>
      </c>
      <c r="T75" s="735">
        <v>1.0370999999999999</v>
      </c>
      <c r="V75" s="735">
        <f t="shared" si="12"/>
        <v>0</v>
      </c>
      <c r="W75" s="735">
        <f t="shared" si="13"/>
        <v>0</v>
      </c>
      <c r="X75" s="735">
        <f t="shared" si="14"/>
        <v>0</v>
      </c>
      <c r="Y75" s="735">
        <f t="shared" si="15"/>
        <v>0</v>
      </c>
    </row>
    <row r="76" spans="1:25">
      <c r="A76" s="778" t="s">
        <v>141</v>
      </c>
      <c r="B76" s="736">
        <v>1.0455000000000001</v>
      </c>
      <c r="C76" s="736">
        <v>1.0455000000000001</v>
      </c>
      <c r="D76" s="737">
        <v>1.0607</v>
      </c>
      <c r="E76" s="735">
        <v>1.0607</v>
      </c>
      <c r="F76" s="735">
        <v>1.0608</v>
      </c>
      <c r="G76" s="735">
        <v>1.0617000000000001</v>
      </c>
      <c r="H76" s="735">
        <v>1.0617000000000001</v>
      </c>
      <c r="I76" s="735">
        <v>1.0617000000000001</v>
      </c>
      <c r="J76" s="735">
        <v>1.0617000000000001</v>
      </c>
      <c r="K76" s="735">
        <v>1.0617000000000001</v>
      </c>
      <c r="L76" s="735">
        <v>1.0617000000000001</v>
      </c>
      <c r="M76" s="735">
        <v>1.0617000000000001</v>
      </c>
      <c r="N76" s="735">
        <v>1.0617000000000001</v>
      </c>
      <c r="O76" s="735">
        <f>+Factores!F76</f>
        <v>1.0617000000000001</v>
      </c>
      <c r="Q76" s="735">
        <v>1.0617000000000001</v>
      </c>
      <c r="R76" s="735">
        <v>1.0617000000000001</v>
      </c>
      <c r="S76" s="735">
        <v>1.0617000000000001</v>
      </c>
      <c r="T76" s="735">
        <v>1.0617000000000001</v>
      </c>
      <c r="V76" s="735">
        <f t="shared" si="12"/>
        <v>0</v>
      </c>
      <c r="W76" s="735">
        <f t="shared" si="13"/>
        <v>0</v>
      </c>
      <c r="X76" s="735">
        <f t="shared" si="14"/>
        <v>0</v>
      </c>
      <c r="Y76" s="735">
        <f t="shared" si="15"/>
        <v>0</v>
      </c>
    </row>
    <row r="77" spans="1:25">
      <c r="A77" s="778" t="s">
        <v>142</v>
      </c>
      <c r="B77" s="736">
        <v>1.0025999999999999</v>
      </c>
      <c r="C77" s="736">
        <v>1.0025999999999999</v>
      </c>
      <c r="D77" s="737">
        <v>1.0094000000000001</v>
      </c>
      <c r="E77" s="735">
        <v>1.0094000000000001</v>
      </c>
      <c r="F77" s="735">
        <v>1.0059</v>
      </c>
      <c r="G77" s="735">
        <v>1.0065999999999999</v>
      </c>
      <c r="H77" s="735">
        <v>1.0065999999999999</v>
      </c>
      <c r="I77" s="735">
        <v>1.0065999999999999</v>
      </c>
      <c r="J77" s="735">
        <v>1.0065999999999999</v>
      </c>
      <c r="K77" s="735">
        <v>1.0065999999999999</v>
      </c>
      <c r="L77" s="735">
        <v>1.0065999999999999</v>
      </c>
      <c r="M77" s="735">
        <v>1.0065999999999999</v>
      </c>
      <c r="N77" s="735">
        <v>1.0065999999999999</v>
      </c>
      <c r="O77" s="735">
        <f>+Factores!F77</f>
        <v>1.0065999999999999</v>
      </c>
      <c r="Q77" s="735">
        <v>1.0065999999999999</v>
      </c>
      <c r="R77" s="735">
        <v>1.0065999999999999</v>
      </c>
      <c r="S77" s="735">
        <v>1.0065999999999999</v>
      </c>
      <c r="T77" s="735">
        <v>1.0065999999999999</v>
      </c>
      <c r="V77" s="735">
        <f t="shared" si="12"/>
        <v>0</v>
      </c>
      <c r="W77" s="735">
        <f t="shared" si="13"/>
        <v>0</v>
      </c>
      <c r="X77" s="735">
        <f t="shared" si="14"/>
        <v>0</v>
      </c>
      <c r="Y77" s="735">
        <f t="shared" si="15"/>
        <v>0</v>
      </c>
    </row>
    <row r="78" spans="1:25">
      <c r="A78" s="778" t="s">
        <v>122</v>
      </c>
      <c r="B78" s="736">
        <v>0.89239999999999997</v>
      </c>
      <c r="C78" s="736">
        <v>0.89239999999999997</v>
      </c>
      <c r="D78" s="737">
        <v>0.84719999999999995</v>
      </c>
      <c r="E78" s="735">
        <v>0.84719999999999995</v>
      </c>
      <c r="F78" s="735">
        <v>0.83550000000000002</v>
      </c>
      <c r="G78" s="735">
        <v>0.83550000000000002</v>
      </c>
      <c r="H78" s="735">
        <v>0.83550000000000002</v>
      </c>
      <c r="I78" s="735">
        <v>0.83550000000000002</v>
      </c>
      <c r="J78" s="735">
        <v>0.83550000000000002</v>
      </c>
      <c r="K78" s="735">
        <v>0.83550000000000002</v>
      </c>
      <c r="L78" s="735">
        <v>0.83550000000000002</v>
      </c>
      <c r="M78" s="735">
        <v>0.83550000000000002</v>
      </c>
      <c r="N78" s="735">
        <v>0.83550000000000002</v>
      </c>
      <c r="O78" s="735">
        <f>+Factores!F78</f>
        <v>0.83550000000000002</v>
      </c>
      <c r="Q78" s="735">
        <v>0.83550000000000002</v>
      </c>
      <c r="R78" s="735">
        <v>0.83550000000000002</v>
      </c>
      <c r="S78" s="735">
        <v>0.83550000000000002</v>
      </c>
      <c r="T78" s="735">
        <v>0.83550000000000002</v>
      </c>
      <c r="V78" s="735">
        <f t="shared" si="12"/>
        <v>0</v>
      </c>
      <c r="W78" s="735">
        <f t="shared" si="13"/>
        <v>0</v>
      </c>
      <c r="X78" s="735">
        <f t="shared" si="14"/>
        <v>0</v>
      </c>
      <c r="Y78" s="735">
        <f t="shared" si="15"/>
        <v>0</v>
      </c>
    </row>
    <row r="79" spans="1:25">
      <c r="A79" s="778" t="s">
        <v>123</v>
      </c>
      <c r="B79" s="736">
        <v>0.89239999999999997</v>
      </c>
      <c r="C79" s="736">
        <v>0.89239999999999997</v>
      </c>
      <c r="D79" s="737">
        <v>0.84719999999999995</v>
      </c>
      <c r="E79" s="735">
        <v>0.84719999999999995</v>
      </c>
      <c r="F79" s="735">
        <v>0.83550000000000002</v>
      </c>
      <c r="G79" s="735">
        <v>0.83550000000000002</v>
      </c>
      <c r="H79" s="735">
        <v>0.83550000000000002</v>
      </c>
      <c r="I79" s="735">
        <v>0.83550000000000002</v>
      </c>
      <c r="J79" s="735">
        <v>0.83550000000000002</v>
      </c>
      <c r="K79" s="735">
        <v>0.83550000000000002</v>
      </c>
      <c r="L79" s="735">
        <v>0.83550000000000002</v>
      </c>
      <c r="M79" s="735">
        <v>0.83550000000000002</v>
      </c>
      <c r="N79" s="735">
        <v>0.83550000000000002</v>
      </c>
      <c r="O79" s="735">
        <f>+Factores!F79</f>
        <v>0.83550000000000002</v>
      </c>
      <c r="Q79" s="735">
        <v>0.83550000000000002</v>
      </c>
      <c r="R79" s="735">
        <v>0.83550000000000002</v>
      </c>
      <c r="S79" s="735">
        <v>0.83550000000000002</v>
      </c>
      <c r="T79" s="735">
        <v>0.83550000000000002</v>
      </c>
      <c r="V79" s="735">
        <f t="shared" si="12"/>
        <v>0</v>
      </c>
      <c r="W79" s="735">
        <f t="shared" si="13"/>
        <v>0</v>
      </c>
      <c r="X79" s="735">
        <f t="shared" si="14"/>
        <v>0</v>
      </c>
      <c r="Y79" s="735">
        <f t="shared" si="15"/>
        <v>0</v>
      </c>
    </row>
    <row r="80" spans="1:25">
      <c r="A80" s="778" t="s">
        <v>117</v>
      </c>
      <c r="B80" s="736">
        <v>0.96240000000000003</v>
      </c>
      <c r="C80" s="736">
        <v>0.96240000000000003</v>
      </c>
      <c r="D80" s="737">
        <v>0.94569999999999999</v>
      </c>
      <c r="E80" s="735">
        <v>0.94569999999999999</v>
      </c>
      <c r="F80" s="735">
        <v>0.9415</v>
      </c>
      <c r="G80" s="735">
        <v>0.94199999999999995</v>
      </c>
      <c r="H80" s="735">
        <v>0.94199999999999995</v>
      </c>
      <c r="I80" s="735">
        <v>0.94199999999999995</v>
      </c>
      <c r="J80" s="735">
        <v>0.94199999999999995</v>
      </c>
      <c r="K80" s="735">
        <v>0.94199999999999995</v>
      </c>
      <c r="L80" s="735">
        <v>0.94199999999999995</v>
      </c>
      <c r="M80" s="735">
        <v>0.94199999999999995</v>
      </c>
      <c r="N80" s="735">
        <v>0.94199999999999995</v>
      </c>
      <c r="O80" s="735">
        <f>+Factores!F80</f>
        <v>0.94199999999999995</v>
      </c>
      <c r="Q80" s="735">
        <v>0.94199999999999995</v>
      </c>
      <c r="R80" s="735">
        <v>0.94199999999999995</v>
      </c>
      <c r="S80" s="735">
        <v>0.94199999999999995</v>
      </c>
      <c r="T80" s="735">
        <v>0.94199999999999995</v>
      </c>
      <c r="V80" s="735">
        <f t="shared" si="12"/>
        <v>0</v>
      </c>
      <c r="W80" s="735">
        <f t="shared" si="13"/>
        <v>0</v>
      </c>
      <c r="X80" s="735">
        <f t="shared" si="14"/>
        <v>0</v>
      </c>
      <c r="Y80" s="735">
        <f t="shared" si="15"/>
        <v>0</v>
      </c>
    </row>
    <row r="81" spans="1:25">
      <c r="A81" s="778" t="s">
        <v>118</v>
      </c>
      <c r="B81" s="736">
        <v>1.0328999999999999</v>
      </c>
      <c r="C81" s="736">
        <v>1.0328999999999999</v>
      </c>
      <c r="D81" s="737">
        <v>1.038</v>
      </c>
      <c r="E81" s="735">
        <v>1.038</v>
      </c>
      <c r="F81" s="735">
        <v>1.032</v>
      </c>
      <c r="G81" s="735">
        <v>1.0326</v>
      </c>
      <c r="H81" s="735">
        <v>1.0326</v>
      </c>
      <c r="I81" s="735">
        <v>1.0326</v>
      </c>
      <c r="J81" s="735">
        <v>1.0326</v>
      </c>
      <c r="K81" s="735">
        <v>1.0326</v>
      </c>
      <c r="L81" s="735">
        <v>1.0326</v>
      </c>
      <c r="M81" s="735">
        <v>1.0326</v>
      </c>
      <c r="N81" s="735">
        <v>1.0326</v>
      </c>
      <c r="O81" s="735">
        <f>+Factores!F81</f>
        <v>1.0326</v>
      </c>
      <c r="Q81" s="735">
        <v>1.0326</v>
      </c>
      <c r="R81" s="735">
        <v>1.0326</v>
      </c>
      <c r="S81" s="735">
        <v>1.0326</v>
      </c>
      <c r="T81" s="735">
        <v>1.0326</v>
      </c>
      <c r="V81" s="735">
        <f t="shared" si="12"/>
        <v>0</v>
      </c>
      <c r="W81" s="735">
        <f t="shared" si="13"/>
        <v>0</v>
      </c>
      <c r="X81" s="735">
        <f t="shared" si="14"/>
        <v>0</v>
      </c>
      <c r="Y81" s="735">
        <f t="shared" si="15"/>
        <v>0</v>
      </c>
    </row>
    <row r="82" spans="1:25">
      <c r="A82" s="778" t="s">
        <v>357</v>
      </c>
      <c r="B82" s="736">
        <v>1.0244</v>
      </c>
      <c r="C82" s="736">
        <v>1.0244</v>
      </c>
      <c r="D82" s="737">
        <v>1.0346</v>
      </c>
      <c r="E82" s="735">
        <v>1.0346</v>
      </c>
      <c r="F82" s="735">
        <v>0.83550000000000002</v>
      </c>
      <c r="G82" s="735">
        <v>0.83550000000000002</v>
      </c>
      <c r="H82" s="735">
        <v>0.83550000000000002</v>
      </c>
      <c r="I82" s="735">
        <v>0.83550000000000002</v>
      </c>
      <c r="J82" s="735">
        <v>0.83550000000000002</v>
      </c>
      <c r="K82" s="735">
        <v>0.83550000000000002</v>
      </c>
      <c r="L82" s="735">
        <v>0.83550000000000002</v>
      </c>
      <c r="M82" s="735">
        <v>0.83550000000000002</v>
      </c>
      <c r="N82" s="735">
        <v>0.83550000000000002</v>
      </c>
      <c r="O82" s="735">
        <f>+Factores!F82</f>
        <v>0.83550000000000002</v>
      </c>
      <c r="Q82" s="735">
        <v>0.83550000000000002</v>
      </c>
      <c r="R82" s="735">
        <v>0.83550000000000002</v>
      </c>
      <c r="S82" s="735">
        <v>0.83550000000000002</v>
      </c>
      <c r="T82" s="735">
        <v>0.83550000000000002</v>
      </c>
      <c r="V82" s="735">
        <f t="shared" si="12"/>
        <v>0</v>
      </c>
      <c r="W82" s="735">
        <f t="shared" si="13"/>
        <v>0</v>
      </c>
      <c r="X82" s="735">
        <f t="shared" si="14"/>
        <v>0</v>
      </c>
      <c r="Y82" s="735">
        <f t="shared" si="15"/>
        <v>0</v>
      </c>
    </row>
    <row r="83" spans="1:25">
      <c r="A83" s="781" t="s">
        <v>465</v>
      </c>
      <c r="B83" s="736" t="s">
        <v>224</v>
      </c>
      <c r="C83" s="736" t="s">
        <v>224</v>
      </c>
      <c r="D83" s="737" t="s">
        <v>224</v>
      </c>
      <c r="E83" s="735" t="s">
        <v>224</v>
      </c>
      <c r="F83" s="735" t="s">
        <v>224</v>
      </c>
      <c r="G83" s="735" t="s">
        <v>224</v>
      </c>
      <c r="H83" s="735" t="s">
        <v>224</v>
      </c>
      <c r="I83" s="735" t="s">
        <v>224</v>
      </c>
      <c r="J83" s="735" t="s">
        <v>224</v>
      </c>
      <c r="K83" s="735" t="s">
        <v>224</v>
      </c>
      <c r="L83" s="735" t="s">
        <v>224</v>
      </c>
      <c r="M83" s="735" t="s">
        <v>224</v>
      </c>
      <c r="N83" s="735" t="s">
        <v>224</v>
      </c>
      <c r="O83" s="735" t="str">
        <f>+Factores!F83</f>
        <v/>
      </c>
      <c r="Q83" s="735" t="s">
        <v>224</v>
      </c>
      <c r="R83" s="735" t="s">
        <v>224</v>
      </c>
      <c r="S83" s="735" t="s">
        <v>224</v>
      </c>
      <c r="T83" s="735" t="s">
        <v>224</v>
      </c>
      <c r="V83" s="735" t="str">
        <f t="shared" si="12"/>
        <v/>
      </c>
      <c r="W83" s="735" t="str">
        <f t="shared" si="13"/>
        <v/>
      </c>
      <c r="X83" s="735" t="str">
        <f t="shared" si="14"/>
        <v/>
      </c>
      <c r="Y83" s="735" t="str">
        <f t="shared" si="15"/>
        <v/>
      </c>
    </row>
    <row r="84" spans="1:25">
      <c r="A84" s="778" t="s">
        <v>463</v>
      </c>
      <c r="B84" s="736">
        <v>1.0546</v>
      </c>
      <c r="C84" s="736">
        <v>1.1357999999999999</v>
      </c>
      <c r="D84" s="737">
        <v>1.1357999999999999</v>
      </c>
      <c r="E84" s="735">
        <v>1.1357999999999999</v>
      </c>
      <c r="F84" s="735">
        <v>1</v>
      </c>
      <c r="G84" s="735">
        <v>1</v>
      </c>
      <c r="H84" s="735">
        <v>1</v>
      </c>
      <c r="I84" s="735">
        <v>1</v>
      </c>
      <c r="J84" s="735">
        <v>1.1015999999999999</v>
      </c>
      <c r="K84" s="735">
        <v>1.1015999999999999</v>
      </c>
      <c r="L84" s="735">
        <v>1.1015999999999999</v>
      </c>
      <c r="M84" s="735">
        <v>1.1015999999999999</v>
      </c>
      <c r="N84" s="735">
        <v>1.1667000000000001</v>
      </c>
      <c r="O84" s="735">
        <f>+Factores!F84</f>
        <v>1.1667000000000001</v>
      </c>
      <c r="Q84" s="735">
        <v>1.1015999999999999</v>
      </c>
      <c r="R84" s="735">
        <v>1.1015999999999999</v>
      </c>
      <c r="S84" s="735">
        <v>1.1015999999999999</v>
      </c>
      <c r="T84" s="735">
        <v>1.1667000000000001</v>
      </c>
      <c r="V84" s="735">
        <f t="shared" si="12"/>
        <v>0</v>
      </c>
      <c r="W84" s="735">
        <f t="shared" si="13"/>
        <v>0</v>
      </c>
      <c r="X84" s="735">
        <f t="shared" si="14"/>
        <v>0</v>
      </c>
      <c r="Y84" s="735">
        <f t="shared" si="15"/>
        <v>0</v>
      </c>
    </row>
    <row r="85" spans="1:25">
      <c r="A85" s="782" t="s">
        <v>224</v>
      </c>
      <c r="B85" s="741" t="s">
        <v>224</v>
      </c>
      <c r="C85" s="741" t="s">
        <v>224</v>
      </c>
      <c r="D85" s="742" t="s">
        <v>224</v>
      </c>
      <c r="E85" s="743" t="s">
        <v>224</v>
      </c>
      <c r="F85" s="743" t="s">
        <v>224</v>
      </c>
      <c r="G85" s="743" t="s">
        <v>224</v>
      </c>
      <c r="H85" s="743" t="s">
        <v>224</v>
      </c>
      <c r="I85" s="743" t="s">
        <v>224</v>
      </c>
      <c r="J85" s="743" t="s">
        <v>224</v>
      </c>
      <c r="K85" s="743" t="s">
        <v>224</v>
      </c>
      <c r="L85" s="743" t="s">
        <v>224</v>
      </c>
      <c r="M85" s="743" t="s">
        <v>224</v>
      </c>
      <c r="N85" s="743" t="s">
        <v>224</v>
      </c>
      <c r="O85" s="743" t="str">
        <f>+Factores!F85</f>
        <v/>
      </c>
      <c r="Q85" s="743" t="s">
        <v>224</v>
      </c>
      <c r="R85" s="743" t="s">
        <v>224</v>
      </c>
      <c r="S85" s="743" t="s">
        <v>224</v>
      </c>
      <c r="T85" s="743" t="s">
        <v>224</v>
      </c>
      <c r="V85" s="743" t="str">
        <f t="shared" si="12"/>
        <v/>
      </c>
      <c r="W85" s="743" t="str">
        <f t="shared" si="13"/>
        <v/>
      </c>
      <c r="X85" s="743" t="str">
        <f t="shared" si="14"/>
        <v/>
      </c>
      <c r="Y85" s="743" t="str">
        <f t="shared" si="15"/>
        <v/>
      </c>
    </row>
    <row r="86" spans="1:25">
      <c r="A86" s="783"/>
      <c r="B86" s="736" t="s">
        <v>224</v>
      </c>
      <c r="C86" s="736" t="s">
        <v>224</v>
      </c>
      <c r="D86" s="737" t="s">
        <v>224</v>
      </c>
      <c r="E86" s="735" t="s">
        <v>224</v>
      </c>
      <c r="F86" s="735" t="s">
        <v>224</v>
      </c>
      <c r="G86" s="735" t="s">
        <v>224</v>
      </c>
      <c r="H86" s="735" t="s">
        <v>224</v>
      </c>
      <c r="I86" s="735" t="s">
        <v>224</v>
      </c>
      <c r="J86" s="735" t="s">
        <v>224</v>
      </c>
      <c r="K86" s="735" t="s">
        <v>224</v>
      </c>
      <c r="L86" s="735" t="s">
        <v>224</v>
      </c>
      <c r="M86" s="735" t="s">
        <v>224</v>
      </c>
      <c r="N86" s="735" t="s">
        <v>224</v>
      </c>
      <c r="O86" s="735" t="str">
        <f>+Factores!F86</f>
        <v/>
      </c>
      <c r="Q86" s="735" t="s">
        <v>224</v>
      </c>
      <c r="R86" s="735" t="s">
        <v>224</v>
      </c>
      <c r="S86" s="735" t="s">
        <v>224</v>
      </c>
      <c r="T86" s="735" t="s">
        <v>224</v>
      </c>
      <c r="V86" s="735" t="str">
        <f t="shared" si="12"/>
        <v/>
      </c>
      <c r="W86" s="735" t="str">
        <f t="shared" si="13"/>
        <v/>
      </c>
      <c r="X86" s="735" t="str">
        <f t="shared" si="14"/>
        <v/>
      </c>
      <c r="Y86" s="735" t="str">
        <f t="shared" si="15"/>
        <v/>
      </c>
    </row>
    <row r="87" spans="1:25">
      <c r="A87" s="775" t="s">
        <v>729</v>
      </c>
      <c r="B87" s="744" t="s">
        <v>224</v>
      </c>
      <c r="C87" s="744" t="s">
        <v>224</v>
      </c>
      <c r="D87" s="745" t="s">
        <v>224</v>
      </c>
      <c r="E87" s="746" t="s">
        <v>224</v>
      </c>
      <c r="F87" s="746" t="s">
        <v>224</v>
      </c>
      <c r="G87" s="746" t="s">
        <v>224</v>
      </c>
      <c r="H87" s="746" t="s">
        <v>224</v>
      </c>
      <c r="I87" s="746" t="s">
        <v>224</v>
      </c>
      <c r="J87" s="746" t="s">
        <v>224</v>
      </c>
      <c r="K87" s="746" t="s">
        <v>224</v>
      </c>
      <c r="L87" s="746" t="s">
        <v>224</v>
      </c>
      <c r="M87" s="746" t="s">
        <v>224</v>
      </c>
      <c r="N87" s="746" t="s">
        <v>224</v>
      </c>
      <c r="O87" s="746" t="str">
        <f>+Factores!F87</f>
        <v/>
      </c>
      <c r="Q87" s="746" t="s">
        <v>224</v>
      </c>
      <c r="R87" s="746" t="s">
        <v>224</v>
      </c>
      <c r="S87" s="746" t="s">
        <v>224</v>
      </c>
      <c r="T87" s="746" t="s">
        <v>224</v>
      </c>
      <c r="V87" s="746" t="str">
        <f t="shared" si="12"/>
        <v/>
      </c>
      <c r="W87" s="746" t="str">
        <f t="shared" si="13"/>
        <v/>
      </c>
      <c r="X87" s="746" t="str">
        <f t="shared" si="14"/>
        <v/>
      </c>
      <c r="Y87" s="746" t="str">
        <f t="shared" si="15"/>
        <v/>
      </c>
    </row>
    <row r="88" spans="1:25">
      <c r="A88" s="775" t="s">
        <v>38</v>
      </c>
      <c r="B88" s="744" t="s">
        <v>224</v>
      </c>
      <c r="C88" s="744" t="s">
        <v>224</v>
      </c>
      <c r="D88" s="745" t="s">
        <v>224</v>
      </c>
      <c r="E88" s="746" t="s">
        <v>224</v>
      </c>
      <c r="F88" s="746" t="s">
        <v>224</v>
      </c>
      <c r="G88" s="746" t="s">
        <v>224</v>
      </c>
      <c r="H88" s="746" t="s">
        <v>224</v>
      </c>
      <c r="I88" s="746" t="s">
        <v>224</v>
      </c>
      <c r="J88" s="746" t="s">
        <v>224</v>
      </c>
      <c r="K88" s="746" t="s">
        <v>224</v>
      </c>
      <c r="L88" s="746" t="s">
        <v>224</v>
      </c>
      <c r="M88" s="746" t="s">
        <v>224</v>
      </c>
      <c r="N88" s="746" t="s">
        <v>224</v>
      </c>
      <c r="O88" s="746" t="str">
        <f>+Factores!F88</f>
        <v/>
      </c>
      <c r="Q88" s="746" t="s">
        <v>224</v>
      </c>
      <c r="R88" s="746" t="s">
        <v>224</v>
      </c>
      <c r="S88" s="746" t="s">
        <v>224</v>
      </c>
      <c r="T88" s="746" t="s">
        <v>224</v>
      </c>
      <c r="V88" s="746" t="str">
        <f t="shared" si="12"/>
        <v/>
      </c>
      <c r="W88" s="746" t="str">
        <f t="shared" si="13"/>
        <v/>
      </c>
      <c r="X88" s="746" t="str">
        <f t="shared" si="14"/>
        <v/>
      </c>
      <c r="Y88" s="746" t="str">
        <f t="shared" si="15"/>
        <v/>
      </c>
    </row>
    <row r="89" spans="1:25">
      <c r="A89" s="783" t="s">
        <v>39</v>
      </c>
      <c r="B89" s="747">
        <v>0.99680000000000002</v>
      </c>
      <c r="C89" s="747">
        <v>0.99680000000000002</v>
      </c>
      <c r="D89" s="748">
        <v>0.99829999999999997</v>
      </c>
      <c r="E89" s="747">
        <v>0.99829999999999997</v>
      </c>
      <c r="F89" s="747">
        <v>0.99739999999999995</v>
      </c>
      <c r="G89" s="747">
        <v>0.99829999999999997</v>
      </c>
      <c r="H89" s="747">
        <v>0.99829999999999997</v>
      </c>
      <c r="I89" s="747">
        <v>0.99229999999999996</v>
      </c>
      <c r="J89" s="748">
        <v>0.99229999999999996</v>
      </c>
      <c r="K89" s="748">
        <v>0.97750000000000004</v>
      </c>
      <c r="L89" s="748">
        <v>0.97770000000000001</v>
      </c>
      <c r="M89" s="748">
        <v>0.97770000000000001</v>
      </c>
      <c r="N89" s="748">
        <v>0.97619999999999996</v>
      </c>
      <c r="O89" s="748">
        <f>+Factores!F89</f>
        <v>0.97619999999999996</v>
      </c>
      <c r="Q89" s="748">
        <v>0.97760000000000002</v>
      </c>
      <c r="R89" s="748">
        <v>0.9778</v>
      </c>
      <c r="S89" s="748">
        <v>0.9778</v>
      </c>
      <c r="T89" s="748">
        <v>0.97629999999999995</v>
      </c>
      <c r="V89" s="749">
        <f t="shared" si="12"/>
        <v>-9.9999999999988987E-5</v>
      </c>
      <c r="W89" s="749">
        <f t="shared" si="13"/>
        <v>-9.9999999999988987E-5</v>
      </c>
      <c r="X89" s="749">
        <f t="shared" si="14"/>
        <v>-9.9999999999988987E-5</v>
      </c>
      <c r="Y89" s="749">
        <f t="shared" si="15"/>
        <v>-9.9999999999988987E-5</v>
      </c>
    </row>
    <row r="90" spans="1:25">
      <c r="A90" s="783" t="s">
        <v>40</v>
      </c>
      <c r="B90" s="747">
        <v>1.0152000000000001</v>
      </c>
      <c r="C90" s="747">
        <v>1.0152000000000001</v>
      </c>
      <c r="D90" s="748">
        <v>1.0196000000000001</v>
      </c>
      <c r="E90" s="747">
        <v>1.0196000000000001</v>
      </c>
      <c r="F90" s="747">
        <v>1.0210999999999999</v>
      </c>
      <c r="G90" s="747">
        <v>1.0222</v>
      </c>
      <c r="H90" s="747">
        <v>1.0222</v>
      </c>
      <c r="I90" s="747">
        <v>1.0165999999999999</v>
      </c>
      <c r="J90" s="748">
        <v>1.0165999999999999</v>
      </c>
      <c r="K90" s="748">
        <v>1.0044999999999999</v>
      </c>
      <c r="L90" s="748">
        <v>1.006</v>
      </c>
      <c r="M90" s="748">
        <v>1.006</v>
      </c>
      <c r="N90" s="748">
        <v>1.0052000000000001</v>
      </c>
      <c r="O90" s="748">
        <f>+Factores!F90</f>
        <v>1.0052000000000001</v>
      </c>
      <c r="Q90" s="748">
        <v>1.0045999999999999</v>
      </c>
      <c r="R90" s="748">
        <v>1.0061</v>
      </c>
      <c r="S90" s="748">
        <v>1.0061</v>
      </c>
      <c r="T90" s="748">
        <v>1.0052000000000001</v>
      </c>
      <c r="V90" s="749">
        <f t="shared" si="12"/>
        <v>-9.9999999999988987E-5</v>
      </c>
      <c r="W90" s="749">
        <f t="shared" si="13"/>
        <v>-9.9999999999988987E-5</v>
      </c>
      <c r="X90" s="749">
        <f t="shared" si="14"/>
        <v>-9.9999999999988987E-5</v>
      </c>
      <c r="Y90" s="749">
        <f t="shared" si="15"/>
        <v>0</v>
      </c>
    </row>
    <row r="91" spans="1:25">
      <c r="A91" s="783" t="s">
        <v>41</v>
      </c>
      <c r="B91" s="747">
        <v>1.0307999999999999</v>
      </c>
      <c r="C91" s="747">
        <v>1.0307999999999999</v>
      </c>
      <c r="D91" s="748">
        <v>1.0284</v>
      </c>
      <c r="E91" s="747">
        <v>1.0284</v>
      </c>
      <c r="F91" s="747">
        <v>1.0247999999999999</v>
      </c>
      <c r="G91" s="747">
        <v>1.0258</v>
      </c>
      <c r="H91" s="747">
        <v>1.0258</v>
      </c>
      <c r="I91" s="747">
        <v>1.0205</v>
      </c>
      <c r="J91" s="748">
        <v>1.0205</v>
      </c>
      <c r="K91" s="748">
        <v>1.0032000000000001</v>
      </c>
      <c r="L91" s="748">
        <v>1.0022</v>
      </c>
      <c r="M91" s="748">
        <v>1.0022</v>
      </c>
      <c r="N91" s="748">
        <v>1.0014000000000001</v>
      </c>
      <c r="O91" s="748">
        <f>+Factores!F91</f>
        <v>1.0014000000000001</v>
      </c>
      <c r="Q91" s="748">
        <v>1.0032000000000001</v>
      </c>
      <c r="R91" s="748">
        <v>1.0022</v>
      </c>
      <c r="S91" s="748">
        <v>1.0022</v>
      </c>
      <c r="T91" s="748">
        <v>1.0014000000000001</v>
      </c>
      <c r="V91" s="749">
        <f t="shared" si="12"/>
        <v>0</v>
      </c>
      <c r="W91" s="749">
        <f t="shared" si="13"/>
        <v>0</v>
      </c>
      <c r="X91" s="749">
        <f t="shared" si="14"/>
        <v>0</v>
      </c>
      <c r="Y91" s="749">
        <f t="shared" si="15"/>
        <v>0</v>
      </c>
    </row>
    <row r="92" spans="1:25">
      <c r="A92" s="783" t="s">
        <v>42</v>
      </c>
      <c r="B92" s="747">
        <v>1.0111000000000001</v>
      </c>
      <c r="C92" s="747">
        <v>1.0111000000000001</v>
      </c>
      <c r="D92" s="748">
        <v>1.0152000000000001</v>
      </c>
      <c r="E92" s="747">
        <v>1.0152000000000001</v>
      </c>
      <c r="F92" s="747">
        <v>1.0166999999999999</v>
      </c>
      <c r="G92" s="747">
        <v>1.0177</v>
      </c>
      <c r="H92" s="747">
        <v>1.0177</v>
      </c>
      <c r="I92" s="747">
        <v>1.0127999999999999</v>
      </c>
      <c r="J92" s="748">
        <v>1.0127999999999999</v>
      </c>
      <c r="K92" s="748">
        <v>1.0008999999999999</v>
      </c>
      <c r="L92" s="748">
        <v>1.0024999999999999</v>
      </c>
      <c r="M92" s="748">
        <v>1.0024999999999999</v>
      </c>
      <c r="N92" s="748">
        <v>1.0017</v>
      </c>
      <c r="O92" s="748">
        <f>+Factores!F92</f>
        <v>1.0017</v>
      </c>
      <c r="Q92" s="748">
        <v>1.0009999999999999</v>
      </c>
      <c r="R92" s="748">
        <v>1.0025999999999999</v>
      </c>
      <c r="S92" s="748">
        <v>1.0025999999999999</v>
      </c>
      <c r="T92" s="748">
        <v>1.0017</v>
      </c>
      <c r="V92" s="749">
        <f t="shared" si="12"/>
        <v>-9.9999999999988987E-5</v>
      </c>
      <c r="W92" s="749">
        <f t="shared" si="13"/>
        <v>-9.9999999999988987E-5</v>
      </c>
      <c r="X92" s="749">
        <f t="shared" si="14"/>
        <v>-9.9999999999988987E-5</v>
      </c>
      <c r="Y92" s="749">
        <f t="shared" si="15"/>
        <v>0</v>
      </c>
    </row>
    <row r="93" spans="1:25">
      <c r="A93" s="783" t="s">
        <v>43</v>
      </c>
      <c r="B93" s="747">
        <v>1.0154000000000001</v>
      </c>
      <c r="C93" s="747">
        <v>1.0154000000000001</v>
      </c>
      <c r="D93" s="748">
        <v>1.0201</v>
      </c>
      <c r="E93" s="747">
        <v>1.0201</v>
      </c>
      <c r="F93" s="747">
        <v>1.022</v>
      </c>
      <c r="G93" s="747">
        <v>1.0229999999999999</v>
      </c>
      <c r="H93" s="747">
        <v>1.0229999999999999</v>
      </c>
      <c r="I93" s="747">
        <v>1.0177</v>
      </c>
      <c r="J93" s="748">
        <v>1.0177</v>
      </c>
      <c r="K93" s="748">
        <v>1.006</v>
      </c>
      <c r="L93" s="748">
        <v>1.0077</v>
      </c>
      <c r="M93" s="748">
        <v>1.0077</v>
      </c>
      <c r="N93" s="748">
        <v>1.0068999999999999</v>
      </c>
      <c r="O93" s="748">
        <f>+Factores!F93</f>
        <v>1.0068999999999999</v>
      </c>
      <c r="Q93" s="748">
        <v>1.0061</v>
      </c>
      <c r="R93" s="748">
        <v>1.0078</v>
      </c>
      <c r="S93" s="748">
        <v>1.0078</v>
      </c>
      <c r="T93" s="748">
        <v>1.0069999999999999</v>
      </c>
      <c r="V93" s="749">
        <f t="shared" si="12"/>
        <v>-9.9999999999988987E-5</v>
      </c>
      <c r="W93" s="749">
        <f t="shared" si="13"/>
        <v>-9.9999999999988987E-5</v>
      </c>
      <c r="X93" s="749">
        <f t="shared" si="14"/>
        <v>-9.9999999999988987E-5</v>
      </c>
      <c r="Y93" s="749">
        <f t="shared" si="15"/>
        <v>-9.9999999999988987E-5</v>
      </c>
    </row>
    <row r="94" spans="1:25">
      <c r="A94" s="783" t="s">
        <v>44</v>
      </c>
      <c r="B94" s="747">
        <v>1.0198</v>
      </c>
      <c r="C94" s="747">
        <v>1.0198</v>
      </c>
      <c r="D94" s="748">
        <v>1.0251999999999999</v>
      </c>
      <c r="E94" s="747">
        <v>1.0251999999999999</v>
      </c>
      <c r="F94" s="747">
        <v>1.0278</v>
      </c>
      <c r="G94" s="747">
        <v>1.0288999999999999</v>
      </c>
      <c r="H94" s="747">
        <v>1.0288999999999999</v>
      </c>
      <c r="I94" s="747">
        <v>1.0239</v>
      </c>
      <c r="J94" s="748">
        <v>1.0239</v>
      </c>
      <c r="K94" s="748">
        <v>1.0132000000000001</v>
      </c>
      <c r="L94" s="748">
        <v>1.0153000000000001</v>
      </c>
      <c r="M94" s="748">
        <v>1.0153000000000001</v>
      </c>
      <c r="N94" s="748">
        <v>1.0147999999999999</v>
      </c>
      <c r="O94" s="748">
        <f>+Factores!F94</f>
        <v>1.0147999999999999</v>
      </c>
      <c r="Q94" s="748">
        <v>1.0133000000000001</v>
      </c>
      <c r="R94" s="748">
        <v>1.0154000000000001</v>
      </c>
      <c r="S94" s="748">
        <v>1.0154000000000001</v>
      </c>
      <c r="T94" s="748">
        <v>1.0147999999999999</v>
      </c>
      <c r="V94" s="749">
        <f t="shared" si="12"/>
        <v>-9.9999999999988987E-5</v>
      </c>
      <c r="W94" s="749">
        <f t="shared" si="13"/>
        <v>-9.9999999999988987E-5</v>
      </c>
      <c r="X94" s="749">
        <f t="shared" si="14"/>
        <v>-9.9999999999988987E-5</v>
      </c>
      <c r="Y94" s="749">
        <f t="shared" si="15"/>
        <v>0</v>
      </c>
    </row>
    <row r="95" spans="1:25">
      <c r="A95" s="783" t="s">
        <v>160</v>
      </c>
      <c r="B95" s="747">
        <v>1.0051000000000001</v>
      </c>
      <c r="C95" s="747">
        <v>1.0051000000000001</v>
      </c>
      <c r="D95" s="748">
        <v>1.0085999999999999</v>
      </c>
      <c r="E95" s="747">
        <v>1.0085999999999999</v>
      </c>
      <c r="F95" s="747">
        <v>1.0094000000000001</v>
      </c>
      <c r="G95" s="747">
        <v>1.0104</v>
      </c>
      <c r="H95" s="747">
        <v>1.0104</v>
      </c>
      <c r="I95" s="747">
        <v>1.0045999999999999</v>
      </c>
      <c r="J95" s="748">
        <v>1.0045999999999999</v>
      </c>
      <c r="K95" s="748">
        <v>0.99150000000000005</v>
      </c>
      <c r="L95" s="748">
        <v>0.99260000000000004</v>
      </c>
      <c r="M95" s="748">
        <v>0.99260000000000004</v>
      </c>
      <c r="N95" s="748">
        <v>0.99139999999999995</v>
      </c>
      <c r="O95" s="748">
        <f>+Factores!F95</f>
        <v>0.99139999999999995</v>
      </c>
      <c r="Q95" s="748">
        <v>0.99160000000000004</v>
      </c>
      <c r="R95" s="748">
        <v>0.99270000000000003</v>
      </c>
      <c r="S95" s="748">
        <v>0.99270000000000003</v>
      </c>
      <c r="T95" s="748">
        <v>0.99150000000000005</v>
      </c>
      <c r="V95" s="749">
        <f t="shared" si="12"/>
        <v>-9.9999999999988987E-5</v>
      </c>
      <c r="W95" s="749">
        <f t="shared" si="13"/>
        <v>-9.9999999999988987E-5</v>
      </c>
      <c r="X95" s="749">
        <f t="shared" si="14"/>
        <v>-9.9999999999988987E-5</v>
      </c>
      <c r="Y95" s="749">
        <f t="shared" si="15"/>
        <v>-1.0000000000010001E-4</v>
      </c>
    </row>
    <row r="96" spans="1:25">
      <c r="A96" s="783" t="s">
        <v>161</v>
      </c>
      <c r="B96" s="747">
        <v>1.0057</v>
      </c>
      <c r="C96" s="747">
        <v>1.0057</v>
      </c>
      <c r="D96" s="748">
        <v>1.0094000000000001</v>
      </c>
      <c r="E96" s="747">
        <v>1.0094000000000001</v>
      </c>
      <c r="F96" s="747">
        <v>1.0102</v>
      </c>
      <c r="G96" s="747">
        <v>1.0113000000000001</v>
      </c>
      <c r="H96" s="747">
        <v>1.0113000000000001</v>
      </c>
      <c r="I96" s="747">
        <v>1.0054000000000001</v>
      </c>
      <c r="J96" s="748">
        <v>1.0054000000000001</v>
      </c>
      <c r="K96" s="748">
        <v>0.99250000000000005</v>
      </c>
      <c r="L96" s="748">
        <v>0.99360000000000004</v>
      </c>
      <c r="M96" s="748">
        <v>0.99360000000000004</v>
      </c>
      <c r="N96" s="748">
        <v>0.99250000000000005</v>
      </c>
      <c r="O96" s="748">
        <f>+Factores!F96</f>
        <v>0.99250000000000005</v>
      </c>
      <c r="Q96" s="748">
        <v>0.99260000000000004</v>
      </c>
      <c r="R96" s="748">
        <v>0.99370000000000003</v>
      </c>
      <c r="S96" s="748">
        <v>0.99370000000000003</v>
      </c>
      <c r="T96" s="748">
        <v>0.99250000000000005</v>
      </c>
      <c r="V96" s="749">
        <f t="shared" si="12"/>
        <v>-9.9999999999988987E-5</v>
      </c>
      <c r="W96" s="749">
        <f t="shared" si="13"/>
        <v>-9.9999999999988987E-5</v>
      </c>
      <c r="X96" s="749">
        <f t="shared" si="14"/>
        <v>-9.9999999999988987E-5</v>
      </c>
      <c r="Y96" s="749">
        <f t="shared" si="15"/>
        <v>0</v>
      </c>
    </row>
    <row r="97" spans="1:25">
      <c r="A97" s="783" t="s">
        <v>162</v>
      </c>
      <c r="B97" s="747">
        <v>1.0051000000000001</v>
      </c>
      <c r="C97" s="747">
        <v>1.0051000000000001</v>
      </c>
      <c r="D97" s="748">
        <v>1.0085999999999999</v>
      </c>
      <c r="E97" s="747">
        <v>1.0085999999999999</v>
      </c>
      <c r="F97" s="747">
        <v>1.0094000000000001</v>
      </c>
      <c r="G97" s="747">
        <v>1.0104</v>
      </c>
      <c r="H97" s="747">
        <v>1.0104</v>
      </c>
      <c r="I97" s="747">
        <v>1.0045999999999999</v>
      </c>
      <c r="J97" s="748">
        <v>1.0045999999999999</v>
      </c>
      <c r="K97" s="748">
        <v>0.99150000000000005</v>
      </c>
      <c r="L97" s="748">
        <v>0.99260000000000004</v>
      </c>
      <c r="M97" s="748">
        <v>0.99260000000000004</v>
      </c>
      <c r="N97" s="748">
        <v>0.99139999999999995</v>
      </c>
      <c r="O97" s="748">
        <f>+Factores!F97</f>
        <v>0.99139999999999995</v>
      </c>
      <c r="Q97" s="748">
        <v>0.99160000000000004</v>
      </c>
      <c r="R97" s="748">
        <v>0.99270000000000003</v>
      </c>
      <c r="S97" s="748">
        <v>0.99270000000000003</v>
      </c>
      <c r="T97" s="748">
        <v>0.99150000000000005</v>
      </c>
      <c r="V97" s="749">
        <f t="shared" si="12"/>
        <v>-9.9999999999988987E-5</v>
      </c>
      <c r="W97" s="749">
        <f t="shared" si="13"/>
        <v>-9.9999999999988987E-5</v>
      </c>
      <c r="X97" s="749">
        <f t="shared" si="14"/>
        <v>-9.9999999999988987E-5</v>
      </c>
      <c r="Y97" s="749">
        <f t="shared" si="15"/>
        <v>-1.0000000000010001E-4</v>
      </c>
    </row>
    <row r="98" spans="1:25">
      <c r="A98" s="783" t="s">
        <v>163</v>
      </c>
      <c r="B98" s="747">
        <v>1.0057</v>
      </c>
      <c r="C98" s="747">
        <v>1.0057</v>
      </c>
      <c r="D98" s="748">
        <v>1.0094000000000001</v>
      </c>
      <c r="E98" s="747">
        <v>1.0094000000000001</v>
      </c>
      <c r="F98" s="747">
        <v>1.0102</v>
      </c>
      <c r="G98" s="747">
        <v>1.0113000000000001</v>
      </c>
      <c r="H98" s="747">
        <v>1.0113000000000001</v>
      </c>
      <c r="I98" s="747">
        <v>1.0054000000000001</v>
      </c>
      <c r="J98" s="748">
        <v>1.0054000000000001</v>
      </c>
      <c r="K98" s="748">
        <v>0.99250000000000005</v>
      </c>
      <c r="L98" s="748">
        <v>0.99360000000000004</v>
      </c>
      <c r="M98" s="748">
        <v>0.99360000000000004</v>
      </c>
      <c r="N98" s="748">
        <v>0.99250000000000005</v>
      </c>
      <c r="O98" s="748">
        <f>+Factores!F98</f>
        <v>0.99250000000000005</v>
      </c>
      <c r="Q98" s="748">
        <v>0.99260000000000004</v>
      </c>
      <c r="R98" s="748">
        <v>0.99370000000000003</v>
      </c>
      <c r="S98" s="748">
        <v>0.99370000000000003</v>
      </c>
      <c r="T98" s="748">
        <v>0.99250000000000005</v>
      </c>
      <c r="V98" s="749">
        <f t="shared" si="12"/>
        <v>-9.9999999999988987E-5</v>
      </c>
      <c r="W98" s="749">
        <f t="shared" si="13"/>
        <v>-9.9999999999988987E-5</v>
      </c>
      <c r="X98" s="749">
        <f t="shared" si="14"/>
        <v>-9.9999999999988987E-5</v>
      </c>
      <c r="Y98" s="749">
        <f t="shared" si="15"/>
        <v>0</v>
      </c>
    </row>
    <row r="99" spans="1:25">
      <c r="A99" s="775" t="s">
        <v>45</v>
      </c>
      <c r="B99" s="744" t="s">
        <v>224</v>
      </c>
      <c r="C99" s="744" t="s">
        <v>224</v>
      </c>
      <c r="D99" s="745" t="s">
        <v>224</v>
      </c>
      <c r="E99" s="747" t="s">
        <v>224</v>
      </c>
      <c r="F99" s="747" t="s">
        <v>224</v>
      </c>
      <c r="G99" s="747" t="s">
        <v>224</v>
      </c>
      <c r="H99" s="747" t="s">
        <v>224</v>
      </c>
      <c r="I99" s="747" t="s">
        <v>224</v>
      </c>
      <c r="J99" s="748" t="s">
        <v>224</v>
      </c>
      <c r="K99" s="748" t="s">
        <v>224</v>
      </c>
      <c r="L99" s="748" t="s">
        <v>224</v>
      </c>
      <c r="M99" s="748" t="s">
        <v>224</v>
      </c>
      <c r="N99" s="748" t="s">
        <v>224</v>
      </c>
      <c r="O99" s="748" t="str">
        <f>+Factores!F99</f>
        <v/>
      </c>
      <c r="Q99" s="748" t="s">
        <v>224</v>
      </c>
      <c r="R99" s="748" t="s">
        <v>224</v>
      </c>
      <c r="S99" s="748" t="s">
        <v>224</v>
      </c>
      <c r="T99" s="748" t="s">
        <v>224</v>
      </c>
      <c r="V99" s="749" t="str">
        <f t="shared" si="12"/>
        <v/>
      </c>
      <c r="W99" s="749" t="str">
        <f t="shared" si="13"/>
        <v/>
      </c>
      <c r="X99" s="749" t="str">
        <f t="shared" si="14"/>
        <v/>
      </c>
      <c r="Y99" s="749" t="str">
        <f t="shared" si="15"/>
        <v/>
      </c>
    </row>
    <row r="100" spans="1:25">
      <c r="A100" s="783" t="s">
        <v>39</v>
      </c>
      <c r="B100" s="747">
        <v>0.99880000000000002</v>
      </c>
      <c r="C100" s="747">
        <v>0.99880000000000002</v>
      </c>
      <c r="D100" s="748">
        <v>1.0014000000000001</v>
      </c>
      <c r="E100" s="747">
        <v>1.0014000000000001</v>
      </c>
      <c r="F100" s="747">
        <v>1.0016</v>
      </c>
      <c r="G100" s="747">
        <v>1.0025999999999999</v>
      </c>
      <c r="H100" s="747">
        <v>1.0025999999999999</v>
      </c>
      <c r="I100" s="747">
        <v>0.99729999999999996</v>
      </c>
      <c r="J100" s="748">
        <v>0.99729999999999996</v>
      </c>
      <c r="K100" s="748">
        <v>0.9839</v>
      </c>
      <c r="L100" s="748">
        <v>0.98480000000000001</v>
      </c>
      <c r="M100" s="748">
        <v>0.98480000000000001</v>
      </c>
      <c r="N100" s="748">
        <v>0.98350000000000004</v>
      </c>
      <c r="O100" s="748">
        <f>+Factores!F100</f>
        <v>0.98350000000000004</v>
      </c>
      <c r="Q100" s="748">
        <v>0.98399999999999999</v>
      </c>
      <c r="R100" s="748">
        <v>0.9849</v>
      </c>
      <c r="S100" s="748">
        <v>0.9849</v>
      </c>
      <c r="T100" s="748">
        <v>0.98360000000000003</v>
      </c>
      <c r="V100" s="749">
        <f t="shared" si="12"/>
        <v>-9.9999999999988987E-5</v>
      </c>
      <c r="W100" s="749">
        <f t="shared" si="13"/>
        <v>-9.9999999999988987E-5</v>
      </c>
      <c r="X100" s="749">
        <f t="shared" si="14"/>
        <v>-9.9999999999988987E-5</v>
      </c>
      <c r="Y100" s="749">
        <f t="shared" si="15"/>
        <v>-9.9999999999988987E-5</v>
      </c>
    </row>
    <row r="101" spans="1:25">
      <c r="A101" s="783" t="s">
        <v>40</v>
      </c>
      <c r="B101" s="747">
        <v>1.0076000000000001</v>
      </c>
      <c r="C101" s="747">
        <v>1.0076000000000001</v>
      </c>
      <c r="D101" s="748">
        <v>1.0113000000000001</v>
      </c>
      <c r="E101" s="747">
        <v>1.0113000000000001</v>
      </c>
      <c r="F101" s="747">
        <v>1.0125</v>
      </c>
      <c r="G101" s="747">
        <v>1.0135000000000001</v>
      </c>
      <c r="H101" s="747">
        <v>1.0135000000000001</v>
      </c>
      <c r="I101" s="747">
        <v>1.0088999999999999</v>
      </c>
      <c r="J101" s="748">
        <v>1.0088999999999999</v>
      </c>
      <c r="K101" s="748">
        <v>0.997</v>
      </c>
      <c r="L101" s="748">
        <v>0.99839999999999995</v>
      </c>
      <c r="M101" s="748">
        <v>0.99839999999999995</v>
      </c>
      <c r="N101" s="748">
        <v>0.99760000000000004</v>
      </c>
      <c r="O101" s="748">
        <f>+Factores!F101</f>
        <v>0.99760000000000004</v>
      </c>
      <c r="Q101" s="748">
        <v>0.997</v>
      </c>
      <c r="R101" s="748">
        <v>0.99850000000000005</v>
      </c>
      <c r="S101" s="748">
        <v>0.99850000000000005</v>
      </c>
      <c r="T101" s="748">
        <v>0.99760000000000004</v>
      </c>
      <c r="V101" s="749">
        <f t="shared" si="12"/>
        <v>0</v>
      </c>
      <c r="W101" s="749">
        <f t="shared" si="13"/>
        <v>-1.0000000000010001E-4</v>
      </c>
      <c r="X101" s="749">
        <f t="shared" si="14"/>
        <v>-1.0000000000010001E-4</v>
      </c>
      <c r="Y101" s="749">
        <f t="shared" si="15"/>
        <v>0</v>
      </c>
    </row>
    <row r="102" spans="1:25">
      <c r="A102" s="783" t="s">
        <v>41</v>
      </c>
      <c r="B102" s="747">
        <v>1.0007999999999999</v>
      </c>
      <c r="C102" s="747">
        <v>1.0007999999999999</v>
      </c>
      <c r="D102" s="748">
        <v>1.0033000000000001</v>
      </c>
      <c r="E102" s="747">
        <v>1.0033000000000001</v>
      </c>
      <c r="F102" s="747">
        <v>1.0035000000000001</v>
      </c>
      <c r="G102" s="747">
        <v>1.0044</v>
      </c>
      <c r="H102" s="747">
        <v>1.0044</v>
      </c>
      <c r="I102" s="747">
        <v>0.99929999999999997</v>
      </c>
      <c r="J102" s="748">
        <v>0.99929999999999997</v>
      </c>
      <c r="K102" s="748">
        <v>0.9859</v>
      </c>
      <c r="L102" s="748">
        <v>0.98670000000000002</v>
      </c>
      <c r="M102" s="748">
        <v>0.98670000000000002</v>
      </c>
      <c r="N102" s="748">
        <v>0.98550000000000004</v>
      </c>
      <c r="O102" s="748">
        <f>+Factores!F102</f>
        <v>0.98550000000000004</v>
      </c>
      <c r="Q102" s="748">
        <v>0.9859</v>
      </c>
      <c r="R102" s="748">
        <v>0.98680000000000001</v>
      </c>
      <c r="S102" s="748">
        <v>0.98680000000000001</v>
      </c>
      <c r="T102" s="748">
        <v>0.98560000000000003</v>
      </c>
      <c r="V102" s="749">
        <f t="shared" si="12"/>
        <v>0</v>
      </c>
      <c r="W102" s="749">
        <f t="shared" si="13"/>
        <v>-9.9999999999988987E-5</v>
      </c>
      <c r="X102" s="749">
        <f t="shared" si="14"/>
        <v>-9.9999999999988987E-5</v>
      </c>
      <c r="Y102" s="749">
        <f t="shared" si="15"/>
        <v>-9.9999999999988987E-5</v>
      </c>
    </row>
    <row r="103" spans="1:25">
      <c r="A103" s="783" t="s">
        <v>42</v>
      </c>
      <c r="B103" s="747">
        <v>0.99550000000000005</v>
      </c>
      <c r="C103" s="747">
        <v>0.99550000000000005</v>
      </c>
      <c r="D103" s="748">
        <v>0.99780000000000002</v>
      </c>
      <c r="E103" s="747">
        <v>0.99780000000000002</v>
      </c>
      <c r="F103" s="747">
        <v>0.99790000000000001</v>
      </c>
      <c r="G103" s="747">
        <v>0.99890000000000001</v>
      </c>
      <c r="H103" s="747">
        <v>0.99890000000000001</v>
      </c>
      <c r="I103" s="747">
        <v>0.99439999999999995</v>
      </c>
      <c r="J103" s="748">
        <v>0.99439999999999995</v>
      </c>
      <c r="K103" s="748">
        <v>0.98140000000000005</v>
      </c>
      <c r="L103" s="748">
        <v>0.98219999999999996</v>
      </c>
      <c r="M103" s="748">
        <v>0.98219999999999996</v>
      </c>
      <c r="N103" s="748">
        <v>0.98109999999999997</v>
      </c>
      <c r="O103" s="748">
        <f>+Factores!F103</f>
        <v>0.98109999999999997</v>
      </c>
      <c r="Q103" s="748">
        <v>0.98140000000000005</v>
      </c>
      <c r="R103" s="748">
        <v>0.98229999999999995</v>
      </c>
      <c r="S103" s="748">
        <v>0.98229999999999995</v>
      </c>
      <c r="T103" s="748">
        <v>0.98119999999999996</v>
      </c>
      <c r="V103" s="749">
        <f t="shared" si="12"/>
        <v>0</v>
      </c>
      <c r="W103" s="749">
        <f t="shared" si="13"/>
        <v>-9.9999999999988987E-5</v>
      </c>
      <c r="X103" s="749">
        <f t="shared" si="14"/>
        <v>-9.9999999999988987E-5</v>
      </c>
      <c r="Y103" s="749">
        <f t="shared" si="15"/>
        <v>-9.9999999999988987E-5</v>
      </c>
    </row>
    <row r="104" spans="1:25">
      <c r="A104" s="783" t="s">
        <v>43</v>
      </c>
      <c r="B104" s="747">
        <v>0.99390000000000001</v>
      </c>
      <c r="C104" s="747">
        <v>0.99390000000000001</v>
      </c>
      <c r="D104" s="748">
        <v>0.99570000000000003</v>
      </c>
      <c r="E104" s="747">
        <v>0.99570000000000003</v>
      </c>
      <c r="F104" s="747">
        <v>0.99539999999999995</v>
      </c>
      <c r="G104" s="747">
        <v>0.99629999999999996</v>
      </c>
      <c r="H104" s="747">
        <v>0.99629999999999996</v>
      </c>
      <c r="I104" s="747">
        <v>0.99170000000000003</v>
      </c>
      <c r="J104" s="748">
        <v>0.99170000000000003</v>
      </c>
      <c r="K104" s="748">
        <v>0.97799999999999998</v>
      </c>
      <c r="L104" s="748">
        <v>0.97870000000000001</v>
      </c>
      <c r="M104" s="748">
        <v>0.97870000000000001</v>
      </c>
      <c r="N104" s="748">
        <v>0.97740000000000005</v>
      </c>
      <c r="O104" s="748">
        <f>+Factores!F104</f>
        <v>0.97740000000000005</v>
      </c>
      <c r="Q104" s="748">
        <v>0.97809999999999997</v>
      </c>
      <c r="R104" s="748">
        <v>0.97870000000000001</v>
      </c>
      <c r="S104" s="748">
        <v>0.97870000000000001</v>
      </c>
      <c r="T104" s="748">
        <v>0.97750000000000004</v>
      </c>
      <c r="V104" s="749">
        <f t="shared" si="12"/>
        <v>-9.9999999999988987E-5</v>
      </c>
      <c r="W104" s="749">
        <f t="shared" si="13"/>
        <v>0</v>
      </c>
      <c r="X104" s="749">
        <f t="shared" si="14"/>
        <v>0</v>
      </c>
      <c r="Y104" s="749">
        <f t="shared" si="15"/>
        <v>-9.9999999999988987E-5</v>
      </c>
    </row>
    <row r="105" spans="1:25">
      <c r="A105" s="783" t="s">
        <v>44</v>
      </c>
      <c r="B105" s="747">
        <v>1.0039</v>
      </c>
      <c r="C105" s="747">
        <v>1.0039</v>
      </c>
      <c r="D105" s="748">
        <v>1.0039</v>
      </c>
      <c r="E105" s="747">
        <v>1.0039</v>
      </c>
      <c r="F105" s="747">
        <v>1.0026999999999999</v>
      </c>
      <c r="G105" s="747">
        <v>1.0035000000000001</v>
      </c>
      <c r="H105" s="747">
        <v>1.0035000000000001</v>
      </c>
      <c r="I105" s="747">
        <v>1.0009999999999999</v>
      </c>
      <c r="J105" s="748">
        <v>1.0009999999999999</v>
      </c>
      <c r="K105" s="748">
        <v>0.98729999999999996</v>
      </c>
      <c r="L105" s="748">
        <v>0.98770000000000002</v>
      </c>
      <c r="M105" s="748">
        <v>0.98770000000000002</v>
      </c>
      <c r="N105" s="748">
        <v>0.98699999999999999</v>
      </c>
      <c r="O105" s="748">
        <f>+Factores!F105</f>
        <v>0.98699999999999999</v>
      </c>
      <c r="Q105" s="748">
        <v>0.98729999999999996</v>
      </c>
      <c r="R105" s="748">
        <v>0.98770000000000002</v>
      </c>
      <c r="S105" s="748">
        <v>0.98770000000000002</v>
      </c>
      <c r="T105" s="748">
        <v>0.98699999999999999</v>
      </c>
      <c r="V105" s="749">
        <f t="shared" ref="V105:V136" si="16">IF(ISERR(K105-Q105),"",K105-Q105)</f>
        <v>0</v>
      </c>
      <c r="W105" s="749">
        <f t="shared" ref="W105:W136" si="17">IF(ISERR(L105-R105),"",L105-R105)</f>
        <v>0</v>
      </c>
      <c r="X105" s="749">
        <f t="shared" ref="X105:X136" si="18">IF(ISERR(M105-S105),"",M105-S105)</f>
        <v>0</v>
      </c>
      <c r="Y105" s="749">
        <f t="shared" ref="Y105:Y136" si="19">IF(ISERR(N105-T105),"",N105-T105)</f>
        <v>0</v>
      </c>
    </row>
    <row r="106" spans="1:25">
      <c r="A106" s="783" t="s">
        <v>160</v>
      </c>
      <c r="B106" s="747">
        <v>0.99139999999999995</v>
      </c>
      <c r="C106" s="747">
        <v>0.99139999999999995</v>
      </c>
      <c r="D106" s="748">
        <v>0.99239999999999995</v>
      </c>
      <c r="E106" s="747">
        <v>0.99239999999999995</v>
      </c>
      <c r="F106" s="747">
        <v>0.99199999999999999</v>
      </c>
      <c r="G106" s="747">
        <v>0.9929</v>
      </c>
      <c r="H106" s="747">
        <v>0.9929</v>
      </c>
      <c r="I106" s="747">
        <v>0.9909</v>
      </c>
      <c r="J106" s="748">
        <v>0.9909</v>
      </c>
      <c r="K106" s="748">
        <v>0.97829999999999995</v>
      </c>
      <c r="L106" s="748">
        <v>0.97919999999999996</v>
      </c>
      <c r="M106" s="748">
        <v>0.97919999999999996</v>
      </c>
      <c r="N106" s="748">
        <v>0.97840000000000005</v>
      </c>
      <c r="O106" s="748">
        <f>+Factores!F106</f>
        <v>0.97840000000000005</v>
      </c>
      <c r="Q106" s="748">
        <v>0.97840000000000005</v>
      </c>
      <c r="R106" s="748">
        <v>0.97929999999999995</v>
      </c>
      <c r="S106" s="748">
        <v>0.97929999999999995</v>
      </c>
      <c r="T106" s="748">
        <v>0.97850000000000004</v>
      </c>
      <c r="V106" s="749">
        <f t="shared" si="16"/>
        <v>-1.0000000000010001E-4</v>
      </c>
      <c r="W106" s="749">
        <f t="shared" si="17"/>
        <v>-9.9999999999988987E-5</v>
      </c>
      <c r="X106" s="749">
        <f t="shared" si="18"/>
        <v>-9.9999999999988987E-5</v>
      </c>
      <c r="Y106" s="749">
        <f t="shared" si="19"/>
        <v>-9.9999999999988987E-5</v>
      </c>
    </row>
    <row r="107" spans="1:25">
      <c r="A107" s="783" t="s">
        <v>161</v>
      </c>
      <c r="B107" s="747">
        <v>1.0016</v>
      </c>
      <c r="C107" s="747">
        <v>1.0016</v>
      </c>
      <c r="D107" s="748">
        <v>1.0038</v>
      </c>
      <c r="E107" s="747">
        <v>1.0038</v>
      </c>
      <c r="F107" s="747">
        <v>1.0041</v>
      </c>
      <c r="G107" s="747">
        <v>1.0051000000000001</v>
      </c>
      <c r="H107" s="747">
        <v>1.0051000000000001</v>
      </c>
      <c r="I107" s="747">
        <v>1.0019</v>
      </c>
      <c r="J107" s="748">
        <v>1.0019</v>
      </c>
      <c r="K107" s="748">
        <v>0.98970000000000002</v>
      </c>
      <c r="L107" s="748">
        <v>0.99080000000000001</v>
      </c>
      <c r="M107" s="748">
        <v>0.99080000000000001</v>
      </c>
      <c r="N107" s="748">
        <v>0.99009999999999998</v>
      </c>
      <c r="O107" s="748">
        <f>+Factores!F107</f>
        <v>0.99009999999999998</v>
      </c>
      <c r="Q107" s="748">
        <v>0.98970000000000002</v>
      </c>
      <c r="R107" s="748">
        <v>0.9909</v>
      </c>
      <c r="S107" s="748">
        <v>0.9909</v>
      </c>
      <c r="T107" s="748">
        <v>0.99009999999999998</v>
      </c>
      <c r="V107" s="749">
        <f t="shared" si="16"/>
        <v>0</v>
      </c>
      <c r="W107" s="749">
        <f t="shared" si="17"/>
        <v>-9.9999999999988987E-5</v>
      </c>
      <c r="X107" s="749">
        <f t="shared" si="18"/>
        <v>-9.9999999999988987E-5</v>
      </c>
      <c r="Y107" s="749">
        <f t="shared" si="19"/>
        <v>0</v>
      </c>
    </row>
    <row r="108" spans="1:25">
      <c r="A108" s="783" t="s">
        <v>162</v>
      </c>
      <c r="B108" s="747">
        <v>0.99139999999999995</v>
      </c>
      <c r="C108" s="747">
        <v>0.99139999999999995</v>
      </c>
      <c r="D108" s="748">
        <v>0.99239999999999995</v>
      </c>
      <c r="E108" s="747">
        <v>0.99239999999999995</v>
      </c>
      <c r="F108" s="747">
        <v>0.99199999999999999</v>
      </c>
      <c r="G108" s="747">
        <v>0.9929</v>
      </c>
      <c r="H108" s="747">
        <v>0.9929</v>
      </c>
      <c r="I108" s="747">
        <v>0.9909</v>
      </c>
      <c r="J108" s="748">
        <v>0.9909</v>
      </c>
      <c r="K108" s="748">
        <v>0.97829999999999995</v>
      </c>
      <c r="L108" s="748">
        <v>0.97919999999999996</v>
      </c>
      <c r="M108" s="748">
        <v>0.97919999999999996</v>
      </c>
      <c r="N108" s="748">
        <v>0.97840000000000005</v>
      </c>
      <c r="O108" s="748">
        <f>+Factores!F108</f>
        <v>0.97840000000000005</v>
      </c>
      <c r="Q108" s="748">
        <v>0.97840000000000005</v>
      </c>
      <c r="R108" s="748">
        <v>0.97929999999999995</v>
      </c>
      <c r="S108" s="748">
        <v>0.97929999999999995</v>
      </c>
      <c r="T108" s="748">
        <v>0.97850000000000004</v>
      </c>
      <c r="V108" s="749">
        <f t="shared" si="16"/>
        <v>-1.0000000000010001E-4</v>
      </c>
      <c r="W108" s="749">
        <f t="shared" si="17"/>
        <v>-9.9999999999988987E-5</v>
      </c>
      <c r="X108" s="749">
        <f t="shared" si="18"/>
        <v>-9.9999999999988987E-5</v>
      </c>
      <c r="Y108" s="749">
        <f t="shared" si="19"/>
        <v>-9.9999999999988987E-5</v>
      </c>
    </row>
    <row r="109" spans="1:25">
      <c r="A109" s="783" t="s">
        <v>163</v>
      </c>
      <c r="B109" s="747">
        <v>1.0016</v>
      </c>
      <c r="C109" s="747">
        <v>1.0016</v>
      </c>
      <c r="D109" s="748">
        <v>1.0038</v>
      </c>
      <c r="E109" s="747">
        <v>1.0038</v>
      </c>
      <c r="F109" s="747">
        <v>1.0041</v>
      </c>
      <c r="G109" s="747">
        <v>1.0051000000000001</v>
      </c>
      <c r="H109" s="747">
        <v>1.0051000000000001</v>
      </c>
      <c r="I109" s="747">
        <v>1.0019</v>
      </c>
      <c r="J109" s="748">
        <v>1.0019</v>
      </c>
      <c r="K109" s="748">
        <v>0.98970000000000002</v>
      </c>
      <c r="L109" s="748">
        <v>0.99080000000000001</v>
      </c>
      <c r="M109" s="748">
        <v>0.99080000000000001</v>
      </c>
      <c r="N109" s="748">
        <v>0.99009999999999998</v>
      </c>
      <c r="O109" s="748">
        <f>+Factores!F109</f>
        <v>0.99009999999999998</v>
      </c>
      <c r="P109" s="760"/>
      <c r="Q109" s="748">
        <v>0.98970000000000002</v>
      </c>
      <c r="R109" s="748">
        <v>0.9909</v>
      </c>
      <c r="S109" s="748">
        <v>0.9909</v>
      </c>
      <c r="T109" s="748">
        <v>0.99009999999999998</v>
      </c>
      <c r="U109" s="760"/>
      <c r="V109" s="749">
        <f t="shared" si="16"/>
        <v>0</v>
      </c>
      <c r="W109" s="749">
        <f t="shared" si="17"/>
        <v>-9.9999999999988987E-5</v>
      </c>
      <c r="X109" s="749">
        <f t="shared" si="18"/>
        <v>-9.9999999999988987E-5</v>
      </c>
      <c r="Y109" s="749">
        <f t="shared" si="19"/>
        <v>0</v>
      </c>
    </row>
    <row r="110" spans="1:25">
      <c r="A110" s="775" t="s">
        <v>470</v>
      </c>
      <c r="B110" s="744" t="s">
        <v>224</v>
      </c>
      <c r="C110" s="744" t="s">
        <v>224</v>
      </c>
      <c r="D110" s="745" t="s">
        <v>224</v>
      </c>
      <c r="E110" s="747" t="s">
        <v>224</v>
      </c>
      <c r="F110" s="747" t="s">
        <v>224</v>
      </c>
      <c r="G110" s="747" t="s">
        <v>224</v>
      </c>
      <c r="H110" s="747" t="s">
        <v>224</v>
      </c>
      <c r="I110" s="747" t="s">
        <v>224</v>
      </c>
      <c r="J110" s="748" t="s">
        <v>224</v>
      </c>
      <c r="K110" s="748" t="s">
        <v>224</v>
      </c>
      <c r="L110" s="748" t="s">
        <v>224</v>
      </c>
      <c r="M110" s="748" t="s">
        <v>224</v>
      </c>
      <c r="N110" s="748" t="s">
        <v>224</v>
      </c>
      <c r="O110" s="748" t="str">
        <f>+Factores!F110</f>
        <v/>
      </c>
      <c r="Q110" s="748" t="s">
        <v>224</v>
      </c>
      <c r="R110" s="748" t="s">
        <v>224</v>
      </c>
      <c r="S110" s="748" t="s">
        <v>224</v>
      </c>
      <c r="T110" s="748" t="s">
        <v>224</v>
      </c>
      <c r="V110" s="749" t="str">
        <f t="shared" si="16"/>
        <v/>
      </c>
      <c r="W110" s="749" t="str">
        <f t="shared" si="17"/>
        <v/>
      </c>
      <c r="X110" s="749" t="str">
        <f t="shared" si="18"/>
        <v/>
      </c>
      <c r="Y110" s="749" t="str">
        <f t="shared" si="19"/>
        <v/>
      </c>
    </row>
    <row r="111" spans="1:25">
      <c r="A111" s="783" t="s">
        <v>39</v>
      </c>
      <c r="B111" s="747">
        <v>1.0087999999999999</v>
      </c>
      <c r="C111" s="747">
        <v>1.0087999999999999</v>
      </c>
      <c r="D111" s="748">
        <v>1.0103</v>
      </c>
      <c r="E111" s="747">
        <v>1.0103</v>
      </c>
      <c r="F111" s="747">
        <v>1.0103</v>
      </c>
      <c r="G111" s="747">
        <v>1.0112000000000001</v>
      </c>
      <c r="H111" s="747">
        <v>1.0112000000000001</v>
      </c>
      <c r="I111" s="747">
        <v>1.0089999999999999</v>
      </c>
      <c r="J111" s="748">
        <v>1.0089999999999999</v>
      </c>
      <c r="K111" s="748">
        <v>0.99680000000000002</v>
      </c>
      <c r="L111" s="748">
        <v>0.998</v>
      </c>
      <c r="M111" s="748">
        <v>0.998</v>
      </c>
      <c r="N111" s="748">
        <v>0.99750000000000005</v>
      </c>
      <c r="O111" s="748">
        <f>+Factores!F111</f>
        <v>0.99750000000000005</v>
      </c>
      <c r="Q111" s="748">
        <v>0.99680000000000002</v>
      </c>
      <c r="R111" s="748">
        <v>0.998</v>
      </c>
      <c r="S111" s="748">
        <v>0.998</v>
      </c>
      <c r="T111" s="748">
        <v>0.99750000000000005</v>
      </c>
      <c r="V111" s="749">
        <f t="shared" si="16"/>
        <v>0</v>
      </c>
      <c r="W111" s="749">
        <f t="shared" si="17"/>
        <v>0</v>
      </c>
      <c r="X111" s="749">
        <f t="shared" si="18"/>
        <v>0</v>
      </c>
      <c r="Y111" s="749">
        <f t="shared" si="19"/>
        <v>0</v>
      </c>
    </row>
    <row r="112" spans="1:25">
      <c r="A112" s="783" t="s">
        <v>40</v>
      </c>
      <c r="B112" s="747">
        <v>0.99839999999999995</v>
      </c>
      <c r="C112" s="747">
        <v>0.99839999999999995</v>
      </c>
      <c r="D112" s="748">
        <v>0.997</v>
      </c>
      <c r="E112" s="747">
        <v>0.997</v>
      </c>
      <c r="F112" s="747">
        <v>0.99480000000000002</v>
      </c>
      <c r="G112" s="747">
        <v>0.99570000000000003</v>
      </c>
      <c r="H112" s="747">
        <v>0.99570000000000003</v>
      </c>
      <c r="I112" s="747">
        <v>0.99409999999999998</v>
      </c>
      <c r="J112" s="748">
        <v>0.99409999999999998</v>
      </c>
      <c r="K112" s="748">
        <v>0.97989999999999999</v>
      </c>
      <c r="L112" s="748">
        <v>0.98</v>
      </c>
      <c r="M112" s="748">
        <v>0.98</v>
      </c>
      <c r="N112" s="748">
        <v>0.97929999999999995</v>
      </c>
      <c r="O112" s="748">
        <f>+Factores!F112</f>
        <v>0.97929999999999995</v>
      </c>
      <c r="Q112" s="748">
        <v>0.97989999999999999</v>
      </c>
      <c r="R112" s="748">
        <v>0.98</v>
      </c>
      <c r="S112" s="748">
        <v>0.98</v>
      </c>
      <c r="T112" s="748">
        <v>0.97929999999999995</v>
      </c>
      <c r="V112" s="749">
        <f t="shared" si="16"/>
        <v>0</v>
      </c>
      <c r="W112" s="749">
        <f t="shared" si="17"/>
        <v>0</v>
      </c>
      <c r="X112" s="749">
        <f t="shared" si="18"/>
        <v>0</v>
      </c>
      <c r="Y112" s="749">
        <f t="shared" si="19"/>
        <v>0</v>
      </c>
    </row>
    <row r="113" spans="1:25">
      <c r="A113" s="783" t="s">
        <v>41</v>
      </c>
      <c r="B113" s="747">
        <v>1.0012000000000001</v>
      </c>
      <c r="C113" s="747">
        <v>1.0012000000000001</v>
      </c>
      <c r="D113" s="748">
        <v>1.0003</v>
      </c>
      <c r="E113" s="747">
        <v>1.0003</v>
      </c>
      <c r="F113" s="747">
        <v>0.99839999999999995</v>
      </c>
      <c r="G113" s="747">
        <v>0.99919999999999998</v>
      </c>
      <c r="H113" s="747">
        <v>0.99919999999999998</v>
      </c>
      <c r="I113" s="747">
        <v>0.99739999999999995</v>
      </c>
      <c r="J113" s="748">
        <v>0.99739999999999995</v>
      </c>
      <c r="K113" s="748">
        <v>0.98329999999999995</v>
      </c>
      <c r="L113" s="748">
        <v>0.98360000000000003</v>
      </c>
      <c r="M113" s="748">
        <v>0.98360000000000003</v>
      </c>
      <c r="N113" s="748">
        <v>0.9829</v>
      </c>
      <c r="O113" s="748">
        <f>+Factores!F113</f>
        <v>0.9829</v>
      </c>
      <c r="Q113" s="748">
        <v>0.98329999999999995</v>
      </c>
      <c r="R113" s="748">
        <v>0.98360000000000003</v>
      </c>
      <c r="S113" s="748">
        <v>0.98360000000000003</v>
      </c>
      <c r="T113" s="748">
        <v>0.9829</v>
      </c>
      <c r="V113" s="749">
        <f t="shared" si="16"/>
        <v>0</v>
      </c>
      <c r="W113" s="749">
        <f t="shared" si="17"/>
        <v>0</v>
      </c>
      <c r="X113" s="749">
        <f t="shared" si="18"/>
        <v>0</v>
      </c>
      <c r="Y113" s="749">
        <f t="shared" si="19"/>
        <v>0</v>
      </c>
    </row>
    <row r="114" spans="1:25">
      <c r="A114" s="783" t="s">
        <v>42</v>
      </c>
      <c r="B114" s="747">
        <v>0.97929999999999995</v>
      </c>
      <c r="C114" s="747">
        <v>0.97929999999999995</v>
      </c>
      <c r="D114" s="748">
        <v>0.9798</v>
      </c>
      <c r="E114" s="747">
        <v>0.9798</v>
      </c>
      <c r="F114" s="747">
        <v>0.97940000000000005</v>
      </c>
      <c r="G114" s="747">
        <v>0.98019999999999996</v>
      </c>
      <c r="H114" s="747">
        <v>0.98019999999999996</v>
      </c>
      <c r="I114" s="747">
        <v>0.98080000000000001</v>
      </c>
      <c r="J114" s="748">
        <v>0.98080000000000001</v>
      </c>
      <c r="K114" s="748">
        <v>0.96940000000000004</v>
      </c>
      <c r="L114" s="748">
        <v>0.97060000000000002</v>
      </c>
      <c r="M114" s="748">
        <v>0.97060000000000002</v>
      </c>
      <c r="N114" s="748">
        <v>0.97009999999999996</v>
      </c>
      <c r="O114" s="748">
        <f>+Factores!F114</f>
        <v>0.97009999999999996</v>
      </c>
      <c r="Q114" s="748">
        <v>0.96940000000000004</v>
      </c>
      <c r="R114" s="748">
        <v>0.97060000000000002</v>
      </c>
      <c r="S114" s="748">
        <v>0.97060000000000002</v>
      </c>
      <c r="T114" s="748">
        <v>0.97009999999999996</v>
      </c>
      <c r="V114" s="749">
        <f t="shared" si="16"/>
        <v>0</v>
      </c>
      <c r="W114" s="749">
        <f t="shared" si="17"/>
        <v>0</v>
      </c>
      <c r="X114" s="749">
        <f t="shared" si="18"/>
        <v>0</v>
      </c>
      <c r="Y114" s="749">
        <f t="shared" si="19"/>
        <v>0</v>
      </c>
    </row>
    <row r="115" spans="1:25">
      <c r="A115" s="783" t="s">
        <v>43</v>
      </c>
      <c r="B115" s="747">
        <v>0.97599999999999998</v>
      </c>
      <c r="C115" s="747">
        <v>0.97599999999999998</v>
      </c>
      <c r="D115" s="748">
        <v>0.9758</v>
      </c>
      <c r="E115" s="747">
        <v>0.9758</v>
      </c>
      <c r="F115" s="747">
        <v>0.97509999999999997</v>
      </c>
      <c r="G115" s="747">
        <v>0.9758</v>
      </c>
      <c r="H115" s="747">
        <v>0.9758</v>
      </c>
      <c r="I115" s="747">
        <v>0.97670000000000001</v>
      </c>
      <c r="J115" s="748">
        <v>0.97670000000000001</v>
      </c>
      <c r="K115" s="748">
        <v>0.96499999999999997</v>
      </c>
      <c r="L115" s="748">
        <v>0.96599999999999997</v>
      </c>
      <c r="M115" s="748">
        <v>0.96599999999999997</v>
      </c>
      <c r="N115" s="748">
        <v>0.96550000000000002</v>
      </c>
      <c r="O115" s="748">
        <f>+Factores!F115</f>
        <v>0.96550000000000002</v>
      </c>
      <c r="Q115" s="748">
        <v>0.96499999999999997</v>
      </c>
      <c r="R115" s="748">
        <v>0.96599999999999997</v>
      </c>
      <c r="S115" s="748">
        <v>0.96599999999999997</v>
      </c>
      <c r="T115" s="748">
        <v>0.96550000000000002</v>
      </c>
      <c r="V115" s="749">
        <f t="shared" si="16"/>
        <v>0</v>
      </c>
      <c r="W115" s="749">
        <f t="shared" si="17"/>
        <v>0</v>
      </c>
      <c r="X115" s="749">
        <f t="shared" si="18"/>
        <v>0</v>
      </c>
      <c r="Y115" s="749">
        <f t="shared" si="19"/>
        <v>0</v>
      </c>
    </row>
    <row r="116" spans="1:25">
      <c r="A116" s="783" t="s">
        <v>44</v>
      </c>
      <c r="B116" s="747">
        <v>0.98950000000000005</v>
      </c>
      <c r="C116" s="747">
        <v>0.98950000000000005</v>
      </c>
      <c r="D116" s="748">
        <v>0.98480000000000001</v>
      </c>
      <c r="E116" s="747">
        <v>0.98480000000000001</v>
      </c>
      <c r="F116" s="747">
        <v>0.98009999999999997</v>
      </c>
      <c r="G116" s="747">
        <v>0.98080000000000001</v>
      </c>
      <c r="H116" s="747">
        <v>0.98080000000000001</v>
      </c>
      <c r="I116" s="747">
        <v>0.97960000000000003</v>
      </c>
      <c r="J116" s="748">
        <v>0.97960000000000003</v>
      </c>
      <c r="K116" s="748">
        <v>0.96279999999999999</v>
      </c>
      <c r="L116" s="748">
        <v>0.9617</v>
      </c>
      <c r="M116" s="748">
        <v>0.9617</v>
      </c>
      <c r="N116" s="748">
        <v>0.9607</v>
      </c>
      <c r="O116" s="748">
        <f>+Factores!F116</f>
        <v>0.9607</v>
      </c>
      <c r="Q116" s="748">
        <v>0.96279999999999999</v>
      </c>
      <c r="R116" s="748">
        <v>0.9617</v>
      </c>
      <c r="S116" s="748">
        <v>0.9617</v>
      </c>
      <c r="T116" s="748">
        <v>0.9607</v>
      </c>
      <c r="V116" s="749">
        <f t="shared" si="16"/>
        <v>0</v>
      </c>
      <c r="W116" s="749">
        <f t="shared" si="17"/>
        <v>0</v>
      </c>
      <c r="X116" s="749">
        <f t="shared" si="18"/>
        <v>0</v>
      </c>
      <c r="Y116" s="749">
        <f t="shared" si="19"/>
        <v>0</v>
      </c>
    </row>
    <row r="117" spans="1:25">
      <c r="A117" s="783" t="s">
        <v>160</v>
      </c>
      <c r="B117" s="747">
        <v>0.97729999999999995</v>
      </c>
      <c r="C117" s="747">
        <v>0.97729999999999995</v>
      </c>
      <c r="D117" s="748">
        <v>0.97740000000000005</v>
      </c>
      <c r="E117" s="747">
        <v>0.97740000000000005</v>
      </c>
      <c r="F117" s="747">
        <v>0.9768</v>
      </c>
      <c r="G117" s="747">
        <v>0.97760000000000002</v>
      </c>
      <c r="H117" s="747">
        <v>0.97760000000000002</v>
      </c>
      <c r="I117" s="747">
        <v>0.97829999999999995</v>
      </c>
      <c r="J117" s="748">
        <v>0.97829999999999995</v>
      </c>
      <c r="K117" s="748">
        <v>0.96679999999999999</v>
      </c>
      <c r="L117" s="748">
        <v>0.96789999999999998</v>
      </c>
      <c r="M117" s="748">
        <v>0.96789999999999998</v>
      </c>
      <c r="N117" s="748">
        <v>0.96730000000000005</v>
      </c>
      <c r="O117" s="748">
        <f>+Factores!F117</f>
        <v>0.96730000000000005</v>
      </c>
      <c r="Q117" s="748">
        <v>0.96679999999999999</v>
      </c>
      <c r="R117" s="748">
        <v>0.96789999999999998</v>
      </c>
      <c r="S117" s="748">
        <v>0.96789999999999998</v>
      </c>
      <c r="T117" s="748">
        <v>0.96730000000000005</v>
      </c>
      <c r="V117" s="749">
        <f t="shared" si="16"/>
        <v>0</v>
      </c>
      <c r="W117" s="749">
        <f t="shared" si="17"/>
        <v>0</v>
      </c>
      <c r="X117" s="749">
        <f t="shared" si="18"/>
        <v>0</v>
      </c>
      <c r="Y117" s="749">
        <f t="shared" si="19"/>
        <v>0</v>
      </c>
    </row>
    <row r="118" spans="1:25">
      <c r="A118" s="783" t="s">
        <v>161</v>
      </c>
      <c r="B118" s="747">
        <v>0.97899999999999998</v>
      </c>
      <c r="C118" s="747">
        <v>0.97899999999999998</v>
      </c>
      <c r="D118" s="748">
        <v>0.97929999999999995</v>
      </c>
      <c r="E118" s="747">
        <v>0.97929999999999995</v>
      </c>
      <c r="F118" s="747">
        <v>0.97889999999999999</v>
      </c>
      <c r="G118" s="747">
        <v>0.97960000000000003</v>
      </c>
      <c r="H118" s="747">
        <v>0.97960000000000003</v>
      </c>
      <c r="I118" s="747">
        <v>0.98029999999999995</v>
      </c>
      <c r="J118" s="748">
        <v>0.98029999999999995</v>
      </c>
      <c r="K118" s="748">
        <v>0.96889999999999998</v>
      </c>
      <c r="L118" s="748">
        <v>0.97</v>
      </c>
      <c r="M118" s="748">
        <v>0.97</v>
      </c>
      <c r="N118" s="748">
        <v>0.96950000000000003</v>
      </c>
      <c r="O118" s="748">
        <f>+Factores!F118</f>
        <v>0.96950000000000003</v>
      </c>
      <c r="Q118" s="748">
        <v>0.96889999999999998</v>
      </c>
      <c r="R118" s="748">
        <v>0.97</v>
      </c>
      <c r="S118" s="748">
        <v>0.97</v>
      </c>
      <c r="T118" s="748">
        <v>0.96950000000000003</v>
      </c>
      <c r="V118" s="749">
        <f t="shared" si="16"/>
        <v>0</v>
      </c>
      <c r="W118" s="749">
        <f t="shared" si="17"/>
        <v>0</v>
      </c>
      <c r="X118" s="749">
        <f t="shared" si="18"/>
        <v>0</v>
      </c>
      <c r="Y118" s="749">
        <f t="shared" si="19"/>
        <v>0</v>
      </c>
    </row>
    <row r="119" spans="1:25">
      <c r="A119" s="783" t="s">
        <v>162</v>
      </c>
      <c r="B119" s="747">
        <v>0.97729999999999995</v>
      </c>
      <c r="C119" s="747">
        <v>0.97729999999999995</v>
      </c>
      <c r="D119" s="748">
        <v>0.97740000000000005</v>
      </c>
      <c r="E119" s="747">
        <v>0.97740000000000005</v>
      </c>
      <c r="F119" s="747">
        <v>0.9768</v>
      </c>
      <c r="G119" s="747">
        <v>0.97760000000000002</v>
      </c>
      <c r="H119" s="747">
        <v>0.97760000000000002</v>
      </c>
      <c r="I119" s="747">
        <v>0.97829999999999995</v>
      </c>
      <c r="J119" s="748">
        <v>0.97829999999999995</v>
      </c>
      <c r="K119" s="748">
        <v>0.96679999999999999</v>
      </c>
      <c r="L119" s="748">
        <v>0.96789999999999998</v>
      </c>
      <c r="M119" s="748">
        <v>0.96789999999999998</v>
      </c>
      <c r="N119" s="748">
        <v>0.96730000000000005</v>
      </c>
      <c r="O119" s="748">
        <f>+Factores!F119</f>
        <v>0.96730000000000005</v>
      </c>
      <c r="Q119" s="748">
        <v>0.96679999999999999</v>
      </c>
      <c r="R119" s="748">
        <v>0.96789999999999998</v>
      </c>
      <c r="S119" s="748">
        <v>0.96789999999999998</v>
      </c>
      <c r="T119" s="748">
        <v>0.96730000000000005</v>
      </c>
      <c r="V119" s="749">
        <f t="shared" si="16"/>
        <v>0</v>
      </c>
      <c r="W119" s="749">
        <f t="shared" si="17"/>
        <v>0</v>
      </c>
      <c r="X119" s="749">
        <f t="shared" si="18"/>
        <v>0</v>
      </c>
      <c r="Y119" s="749">
        <f t="shared" si="19"/>
        <v>0</v>
      </c>
    </row>
    <row r="120" spans="1:25">
      <c r="A120" s="783" t="s">
        <v>163</v>
      </c>
      <c r="B120" s="747">
        <v>0.97899999999999998</v>
      </c>
      <c r="C120" s="747">
        <v>0.97899999999999998</v>
      </c>
      <c r="D120" s="748">
        <v>0.97929999999999995</v>
      </c>
      <c r="E120" s="747">
        <v>0.97929999999999995</v>
      </c>
      <c r="F120" s="747">
        <v>0.97889999999999999</v>
      </c>
      <c r="G120" s="747">
        <v>0.97960000000000003</v>
      </c>
      <c r="H120" s="747">
        <v>0.97960000000000003</v>
      </c>
      <c r="I120" s="747">
        <v>0.98029999999999995</v>
      </c>
      <c r="J120" s="748">
        <v>0.98029999999999995</v>
      </c>
      <c r="K120" s="748">
        <v>0.96889999999999998</v>
      </c>
      <c r="L120" s="748">
        <v>0.97</v>
      </c>
      <c r="M120" s="748">
        <v>0.97</v>
      </c>
      <c r="N120" s="748">
        <v>0.96950000000000003</v>
      </c>
      <c r="O120" s="748">
        <f>+Factores!F120</f>
        <v>0.96950000000000003</v>
      </c>
      <c r="Q120" s="748">
        <v>0.96889999999999998</v>
      </c>
      <c r="R120" s="748">
        <v>0.97</v>
      </c>
      <c r="S120" s="748">
        <v>0.97</v>
      </c>
      <c r="T120" s="748">
        <v>0.96950000000000003</v>
      </c>
      <c r="V120" s="749">
        <f t="shared" si="16"/>
        <v>0</v>
      </c>
      <c r="W120" s="749">
        <f t="shared" si="17"/>
        <v>0</v>
      </c>
      <c r="X120" s="749">
        <f t="shared" si="18"/>
        <v>0</v>
      </c>
      <c r="Y120" s="749">
        <f t="shared" si="19"/>
        <v>0</v>
      </c>
    </row>
    <row r="121" spans="1:25">
      <c r="A121" s="783" t="s">
        <v>224</v>
      </c>
      <c r="B121" s="747" t="s">
        <v>224</v>
      </c>
      <c r="C121" s="747" t="s">
        <v>224</v>
      </c>
      <c r="D121" s="748" t="s">
        <v>224</v>
      </c>
      <c r="E121" s="747" t="s">
        <v>224</v>
      </c>
      <c r="F121" s="747" t="s">
        <v>224</v>
      </c>
      <c r="G121" s="747" t="s">
        <v>224</v>
      </c>
      <c r="H121" s="747" t="s">
        <v>224</v>
      </c>
      <c r="I121" s="747" t="s">
        <v>224</v>
      </c>
      <c r="J121" s="748" t="s">
        <v>224</v>
      </c>
      <c r="K121" s="748" t="s">
        <v>224</v>
      </c>
      <c r="L121" s="748" t="s">
        <v>224</v>
      </c>
      <c r="M121" s="748" t="s">
        <v>224</v>
      </c>
      <c r="N121" s="748" t="s">
        <v>224</v>
      </c>
      <c r="O121" s="748" t="str">
        <f>+Factores!F121</f>
        <v/>
      </c>
      <c r="Q121" s="748" t="s">
        <v>224</v>
      </c>
      <c r="R121" s="748" t="s">
        <v>224</v>
      </c>
      <c r="S121" s="748" t="s">
        <v>224</v>
      </c>
      <c r="T121" s="748" t="s">
        <v>224</v>
      </c>
      <c r="V121" s="749" t="str">
        <f t="shared" si="16"/>
        <v/>
      </c>
      <c r="W121" s="749" t="str">
        <f t="shared" si="17"/>
        <v/>
      </c>
      <c r="X121" s="749" t="str">
        <f t="shared" si="18"/>
        <v/>
      </c>
      <c r="Y121" s="749" t="str">
        <f t="shared" si="19"/>
        <v/>
      </c>
    </row>
    <row r="122" spans="1:25">
      <c r="A122" s="784" t="s">
        <v>471</v>
      </c>
      <c r="B122" s="750">
        <v>1.0409999999999999</v>
      </c>
      <c r="C122" s="750">
        <v>1.0409999999999999</v>
      </c>
      <c r="D122" s="751">
        <v>1.0508999999999999</v>
      </c>
      <c r="E122" s="743">
        <v>1.0508999999999999</v>
      </c>
      <c r="F122" s="743">
        <v>1.0572999999999999</v>
      </c>
      <c r="G122" s="743">
        <v>1.0585</v>
      </c>
      <c r="H122" s="743">
        <v>1.0585</v>
      </c>
      <c r="I122" s="743">
        <v>1.0542</v>
      </c>
      <c r="J122" s="743">
        <v>1.0542</v>
      </c>
      <c r="K122" s="743">
        <v>1.0479000000000001</v>
      </c>
      <c r="L122" s="743">
        <v>1.0521</v>
      </c>
      <c r="M122" s="743">
        <v>1.0521</v>
      </c>
      <c r="N122" s="743">
        <v>1.0523</v>
      </c>
      <c r="O122" s="743">
        <f>+Factores!F122</f>
        <v>1.0523</v>
      </c>
      <c r="Q122" s="743">
        <v>1.0479000000000001</v>
      </c>
      <c r="R122" s="743">
        <v>1.0521</v>
      </c>
      <c r="S122" s="743">
        <v>1.0521</v>
      </c>
      <c r="T122" s="743">
        <v>1.0523</v>
      </c>
      <c r="V122" s="743">
        <f t="shared" si="16"/>
        <v>0</v>
      </c>
      <c r="W122" s="743">
        <f t="shared" si="17"/>
        <v>0</v>
      </c>
      <c r="X122" s="743">
        <f t="shared" si="18"/>
        <v>0</v>
      </c>
      <c r="Y122" s="743">
        <f t="shared" si="19"/>
        <v>0</v>
      </c>
    </row>
    <row r="123" spans="1:25">
      <c r="A123" s="775" t="s">
        <v>224</v>
      </c>
      <c r="B123" s="747" t="s">
        <v>224</v>
      </c>
      <c r="C123" s="747" t="s">
        <v>224</v>
      </c>
      <c r="D123" s="748" t="s">
        <v>224</v>
      </c>
      <c r="E123" s="735" t="s">
        <v>224</v>
      </c>
      <c r="F123" s="735" t="s">
        <v>224</v>
      </c>
      <c r="G123" s="735" t="s">
        <v>224</v>
      </c>
      <c r="H123" s="735" t="s">
        <v>224</v>
      </c>
      <c r="I123" s="735" t="s">
        <v>224</v>
      </c>
      <c r="J123" s="735" t="s">
        <v>224</v>
      </c>
      <c r="K123" s="735" t="s">
        <v>224</v>
      </c>
      <c r="L123" s="735" t="s">
        <v>224</v>
      </c>
      <c r="M123" s="735" t="s">
        <v>224</v>
      </c>
      <c r="N123" s="735" t="s">
        <v>224</v>
      </c>
      <c r="O123" s="735" t="str">
        <f>+Factores!F123</f>
        <v/>
      </c>
      <c r="Q123" s="735" t="s">
        <v>224</v>
      </c>
      <c r="R123" s="735" t="s">
        <v>224</v>
      </c>
      <c r="S123" s="735" t="s">
        <v>224</v>
      </c>
      <c r="T123" s="735" t="s">
        <v>224</v>
      </c>
      <c r="V123" s="735" t="str">
        <f t="shared" si="16"/>
        <v/>
      </c>
      <c r="W123" s="735" t="str">
        <f t="shared" si="17"/>
        <v/>
      </c>
      <c r="X123" s="735" t="str">
        <f t="shared" si="18"/>
        <v/>
      </c>
      <c r="Y123" s="735" t="str">
        <f t="shared" si="19"/>
        <v/>
      </c>
    </row>
    <row r="124" spans="1:25" s="250" customFormat="1">
      <c r="A124" s="784" t="s">
        <v>472</v>
      </c>
      <c r="B124" s="750">
        <v>0.8679</v>
      </c>
      <c r="C124" s="750">
        <v>0.8679</v>
      </c>
      <c r="D124" s="751">
        <v>0.85229999999999995</v>
      </c>
      <c r="E124" s="743">
        <v>0.85229999999999995</v>
      </c>
      <c r="F124" s="743">
        <v>0.84050000000000002</v>
      </c>
      <c r="G124" s="743">
        <v>0.84050000000000002</v>
      </c>
      <c r="H124" s="743">
        <v>0.84050000000000002</v>
      </c>
      <c r="I124" s="743">
        <v>0.85009999999999997</v>
      </c>
      <c r="J124" s="743">
        <v>0.85009999999999997</v>
      </c>
      <c r="K124" s="743">
        <v>0.83069999999999999</v>
      </c>
      <c r="L124" s="743">
        <v>0.82689999999999997</v>
      </c>
      <c r="M124" s="743">
        <v>0.82689999999999997</v>
      </c>
      <c r="N124" s="743">
        <v>0.82499999999999996</v>
      </c>
      <c r="O124" s="743">
        <f>+Factores!F124</f>
        <v>0.82499999999999996</v>
      </c>
      <c r="P124" s="760"/>
      <c r="Q124" s="743">
        <v>0.83069999999999999</v>
      </c>
      <c r="R124" s="743">
        <v>0.82689999999999997</v>
      </c>
      <c r="S124" s="743">
        <v>0.82689999999999997</v>
      </c>
      <c r="T124" s="743">
        <v>0.82499999999999996</v>
      </c>
      <c r="U124" s="760"/>
      <c r="V124" s="743">
        <f t="shared" si="16"/>
        <v>0</v>
      </c>
      <c r="W124" s="743">
        <f t="shared" si="17"/>
        <v>0</v>
      </c>
      <c r="X124" s="743">
        <f t="shared" si="18"/>
        <v>0</v>
      </c>
      <c r="Y124" s="743">
        <f t="shared" si="19"/>
        <v>0</v>
      </c>
    </row>
    <row r="125" spans="1:25">
      <c r="A125" s="775" t="s">
        <v>224</v>
      </c>
      <c r="B125" s="747" t="s">
        <v>224</v>
      </c>
      <c r="C125" s="747" t="s">
        <v>224</v>
      </c>
      <c r="D125" s="748" t="s">
        <v>224</v>
      </c>
      <c r="E125" s="735" t="s">
        <v>224</v>
      </c>
      <c r="F125" s="735" t="s">
        <v>224</v>
      </c>
      <c r="G125" s="735" t="s">
        <v>224</v>
      </c>
      <c r="H125" s="735" t="s">
        <v>224</v>
      </c>
      <c r="I125" s="735" t="s">
        <v>224</v>
      </c>
      <c r="J125" s="735" t="s">
        <v>224</v>
      </c>
      <c r="K125" s="735" t="s">
        <v>224</v>
      </c>
      <c r="L125" s="735" t="s">
        <v>224</v>
      </c>
      <c r="M125" s="735" t="s">
        <v>224</v>
      </c>
      <c r="N125" s="735" t="s">
        <v>224</v>
      </c>
      <c r="O125" s="735" t="str">
        <f>+Factores!F125</f>
        <v/>
      </c>
      <c r="Q125" s="735" t="s">
        <v>224</v>
      </c>
      <c r="R125" s="735" t="s">
        <v>224</v>
      </c>
      <c r="S125" s="735" t="s">
        <v>224</v>
      </c>
      <c r="T125" s="735" t="s">
        <v>224</v>
      </c>
      <c r="V125" s="735" t="str">
        <f t="shared" si="16"/>
        <v/>
      </c>
      <c r="W125" s="735" t="str">
        <f t="shared" si="17"/>
        <v/>
      </c>
      <c r="X125" s="735" t="str">
        <f t="shared" si="18"/>
        <v/>
      </c>
      <c r="Y125" s="735" t="str">
        <f t="shared" si="19"/>
        <v/>
      </c>
    </row>
    <row r="126" spans="1:25">
      <c r="A126" s="784" t="s">
        <v>727</v>
      </c>
      <c r="B126" s="750">
        <v>1.1995</v>
      </c>
      <c r="C126" s="750">
        <v>1.1995</v>
      </c>
      <c r="D126" s="751">
        <v>1.2109000000000001</v>
      </c>
      <c r="E126" s="743">
        <v>1.2109000000000001</v>
      </c>
      <c r="F126" s="743">
        <v>1.2182999999999999</v>
      </c>
      <c r="G126" s="743">
        <v>1.2182999999999999</v>
      </c>
      <c r="H126" s="743">
        <v>1.2182999999999999</v>
      </c>
      <c r="I126" s="743">
        <v>1.2156</v>
      </c>
      <c r="J126" s="743">
        <v>1.2156</v>
      </c>
      <c r="K126" s="743">
        <v>1.2045999999999999</v>
      </c>
      <c r="L126" s="743">
        <v>1.2075</v>
      </c>
      <c r="M126" s="743">
        <v>1.2075</v>
      </c>
      <c r="N126" s="743">
        <v>1.2122999999999999</v>
      </c>
      <c r="O126" s="743">
        <f>+Factores!F126</f>
        <v>1.2122999999999999</v>
      </c>
      <c r="Q126" s="743">
        <v>1.2045999999999999</v>
      </c>
      <c r="R126" s="743">
        <v>1.2075</v>
      </c>
      <c r="S126" s="743">
        <v>1.2075</v>
      </c>
      <c r="T126" s="743">
        <v>1.2122999999999999</v>
      </c>
      <c r="V126" s="743">
        <f t="shared" si="16"/>
        <v>0</v>
      </c>
      <c r="W126" s="743">
        <f t="shared" si="17"/>
        <v>0</v>
      </c>
      <c r="X126" s="743">
        <f t="shared" si="18"/>
        <v>0</v>
      </c>
      <c r="Y126" s="743">
        <f t="shared" si="19"/>
        <v>0</v>
      </c>
    </row>
    <row r="127" spans="1:25" s="250" customFormat="1">
      <c r="A127" s="775" t="s">
        <v>224</v>
      </c>
      <c r="B127" s="747" t="s">
        <v>224</v>
      </c>
      <c r="C127" s="747" t="s">
        <v>224</v>
      </c>
      <c r="D127" s="748" t="s">
        <v>224</v>
      </c>
      <c r="E127" s="735" t="s">
        <v>224</v>
      </c>
      <c r="F127" s="735" t="s">
        <v>224</v>
      </c>
      <c r="G127" s="735" t="s">
        <v>224</v>
      </c>
      <c r="H127" s="735" t="s">
        <v>224</v>
      </c>
      <c r="I127" s="735" t="s">
        <v>224</v>
      </c>
      <c r="J127" s="735" t="s">
        <v>224</v>
      </c>
      <c r="K127" s="735" t="s">
        <v>224</v>
      </c>
      <c r="L127" s="735" t="s">
        <v>224</v>
      </c>
      <c r="M127" s="735" t="s">
        <v>224</v>
      </c>
      <c r="N127" s="735" t="s">
        <v>224</v>
      </c>
      <c r="O127" s="735" t="str">
        <f>+Factores!F127</f>
        <v/>
      </c>
      <c r="P127" s="760"/>
      <c r="Q127" s="735" t="s">
        <v>224</v>
      </c>
      <c r="R127" s="735" t="s">
        <v>224</v>
      </c>
      <c r="S127" s="735" t="s">
        <v>224</v>
      </c>
      <c r="T127" s="735" t="s">
        <v>224</v>
      </c>
      <c r="U127" s="760"/>
      <c r="V127" s="735" t="str">
        <f t="shared" si="16"/>
        <v/>
      </c>
      <c r="W127" s="735" t="str">
        <f t="shared" si="17"/>
        <v/>
      </c>
      <c r="X127" s="735" t="str">
        <f t="shared" si="18"/>
        <v/>
      </c>
      <c r="Y127" s="735" t="str">
        <f t="shared" si="19"/>
        <v/>
      </c>
    </row>
    <row r="128" spans="1:25" s="250" customFormat="1">
      <c r="A128" s="785" t="s">
        <v>723</v>
      </c>
      <c r="B128" s="745" t="s">
        <v>224</v>
      </c>
      <c r="C128" s="745" t="s">
        <v>224</v>
      </c>
      <c r="D128" s="745" t="s">
        <v>224</v>
      </c>
      <c r="E128" s="745" t="s">
        <v>224</v>
      </c>
      <c r="F128" s="745" t="s">
        <v>224</v>
      </c>
      <c r="G128" s="745" t="s">
        <v>224</v>
      </c>
      <c r="H128" s="745" t="s">
        <v>224</v>
      </c>
      <c r="I128" s="745" t="s">
        <v>224</v>
      </c>
      <c r="J128" s="745" t="s">
        <v>224</v>
      </c>
      <c r="K128" s="745" t="s">
        <v>224</v>
      </c>
      <c r="L128" s="745" t="s">
        <v>224</v>
      </c>
      <c r="M128" s="745" t="s">
        <v>224</v>
      </c>
      <c r="N128" s="745" t="s">
        <v>224</v>
      </c>
      <c r="O128" s="745" t="str">
        <f>+Factores!F128</f>
        <v/>
      </c>
      <c r="P128" s="760"/>
      <c r="Q128" s="745" t="s">
        <v>224</v>
      </c>
      <c r="R128" s="745" t="s">
        <v>224</v>
      </c>
      <c r="S128" s="745" t="s">
        <v>224</v>
      </c>
      <c r="T128" s="745" t="s">
        <v>224</v>
      </c>
      <c r="U128" s="760"/>
      <c r="V128" s="746" t="str">
        <f t="shared" si="16"/>
        <v/>
      </c>
      <c r="W128" s="746" t="str">
        <f t="shared" si="17"/>
        <v/>
      </c>
      <c r="X128" s="746" t="str">
        <f t="shared" si="18"/>
        <v/>
      </c>
      <c r="Y128" s="746" t="str">
        <f t="shared" si="19"/>
        <v/>
      </c>
    </row>
    <row r="129" spans="1:25">
      <c r="A129" s="785" t="s">
        <v>293</v>
      </c>
      <c r="B129" s="745" t="s">
        <v>224</v>
      </c>
      <c r="C129" s="745" t="s">
        <v>224</v>
      </c>
      <c r="D129" s="745" t="s">
        <v>224</v>
      </c>
      <c r="E129" s="745" t="s">
        <v>224</v>
      </c>
      <c r="F129" s="745" t="s">
        <v>224</v>
      </c>
      <c r="G129" s="745" t="s">
        <v>224</v>
      </c>
      <c r="H129" s="745" t="s">
        <v>224</v>
      </c>
      <c r="I129" s="745" t="s">
        <v>224</v>
      </c>
      <c r="J129" s="745" t="s">
        <v>224</v>
      </c>
      <c r="K129" s="745" t="s">
        <v>224</v>
      </c>
      <c r="L129" s="745" t="s">
        <v>224</v>
      </c>
      <c r="M129" s="745" t="s">
        <v>224</v>
      </c>
      <c r="N129" s="745" t="s">
        <v>224</v>
      </c>
      <c r="O129" s="745" t="str">
        <f>+Factores!F129</f>
        <v/>
      </c>
      <c r="Q129" s="745" t="s">
        <v>224</v>
      </c>
      <c r="R129" s="745" t="s">
        <v>224</v>
      </c>
      <c r="S129" s="745" t="s">
        <v>224</v>
      </c>
      <c r="T129" s="745" t="s">
        <v>224</v>
      </c>
      <c r="V129" s="746" t="str">
        <f t="shared" si="16"/>
        <v/>
      </c>
      <c r="W129" s="746" t="str">
        <f t="shared" si="17"/>
        <v/>
      </c>
      <c r="X129" s="746" t="str">
        <f t="shared" si="18"/>
        <v/>
      </c>
      <c r="Y129" s="746" t="str">
        <f t="shared" si="19"/>
        <v/>
      </c>
    </row>
    <row r="130" spans="1:25">
      <c r="A130" s="786" t="s">
        <v>294</v>
      </c>
      <c r="B130" s="745" t="s">
        <v>224</v>
      </c>
      <c r="C130" s="745" t="s">
        <v>224</v>
      </c>
      <c r="D130" s="745" t="s">
        <v>224</v>
      </c>
      <c r="E130" s="745" t="s">
        <v>224</v>
      </c>
      <c r="F130" s="745" t="s">
        <v>224</v>
      </c>
      <c r="G130" s="745" t="s">
        <v>224</v>
      </c>
      <c r="H130" s="745" t="s">
        <v>224</v>
      </c>
      <c r="I130" s="745" t="s">
        <v>224</v>
      </c>
      <c r="J130" s="745" t="s">
        <v>224</v>
      </c>
      <c r="K130" s="745" t="s">
        <v>224</v>
      </c>
      <c r="L130" s="745" t="s">
        <v>224</v>
      </c>
      <c r="M130" s="745" t="s">
        <v>224</v>
      </c>
      <c r="N130" s="745" t="s">
        <v>224</v>
      </c>
      <c r="O130" s="745" t="str">
        <f>+Factores!F130</f>
        <v/>
      </c>
      <c r="Q130" s="745" t="s">
        <v>224</v>
      </c>
      <c r="R130" s="745" t="s">
        <v>224</v>
      </c>
      <c r="S130" s="745" t="s">
        <v>224</v>
      </c>
      <c r="T130" s="745" t="s">
        <v>224</v>
      </c>
      <c r="V130" s="746" t="str">
        <f t="shared" si="16"/>
        <v/>
      </c>
      <c r="W130" s="746" t="str">
        <f t="shared" si="17"/>
        <v/>
      </c>
      <c r="X130" s="746" t="str">
        <f t="shared" si="18"/>
        <v/>
      </c>
      <c r="Y130" s="746" t="str">
        <f t="shared" si="19"/>
        <v/>
      </c>
    </row>
    <row r="131" spans="1:25">
      <c r="A131" s="787" t="s">
        <v>295</v>
      </c>
      <c r="B131" s="747">
        <v>1.0297000000000001</v>
      </c>
      <c r="C131" s="747">
        <v>1.0297000000000001</v>
      </c>
      <c r="D131" s="747">
        <v>1.0162</v>
      </c>
      <c r="E131" s="747">
        <v>1.0162</v>
      </c>
      <c r="F131" s="747">
        <v>1.0048999999999999</v>
      </c>
      <c r="G131" s="747">
        <v>1.0053000000000001</v>
      </c>
      <c r="H131" s="747">
        <v>1.0053000000000001</v>
      </c>
      <c r="I131" s="747">
        <v>1.008</v>
      </c>
      <c r="J131" s="747">
        <v>1.008</v>
      </c>
      <c r="K131" s="747">
        <v>0.9849</v>
      </c>
      <c r="L131" s="747">
        <v>0.98080000000000001</v>
      </c>
      <c r="M131" s="747">
        <v>0.98080000000000001</v>
      </c>
      <c r="N131" s="747">
        <v>0.9788</v>
      </c>
      <c r="O131" s="748">
        <f>+Factores!F131</f>
        <v>0.9788</v>
      </c>
      <c r="Q131" s="747">
        <v>0.9849</v>
      </c>
      <c r="R131" s="747">
        <v>0.98089999999999999</v>
      </c>
      <c r="S131" s="747">
        <v>0.98089999999999999</v>
      </c>
      <c r="T131" s="748">
        <v>0.97889999999999999</v>
      </c>
      <c r="V131" s="752">
        <f t="shared" si="16"/>
        <v>0</v>
      </c>
      <c r="W131" s="752">
        <f t="shared" si="17"/>
        <v>-9.9999999999988987E-5</v>
      </c>
      <c r="X131" s="752">
        <f t="shared" si="18"/>
        <v>-9.9999999999988987E-5</v>
      </c>
      <c r="Y131" s="749">
        <f t="shared" si="19"/>
        <v>-9.9999999999988987E-5</v>
      </c>
    </row>
    <row r="132" spans="1:25">
      <c r="A132" s="787" t="s">
        <v>296</v>
      </c>
      <c r="B132" s="747">
        <v>1.0533999999999999</v>
      </c>
      <c r="C132" s="747">
        <v>1.0533999999999999</v>
      </c>
      <c r="D132" s="747">
        <v>1.0364</v>
      </c>
      <c r="E132" s="747">
        <v>1.0364</v>
      </c>
      <c r="F132" s="747">
        <v>1.0216000000000001</v>
      </c>
      <c r="G132" s="747">
        <v>1.022</v>
      </c>
      <c r="H132" s="747">
        <v>1.022</v>
      </c>
      <c r="I132" s="747">
        <v>1.0208999999999999</v>
      </c>
      <c r="J132" s="747">
        <v>1.0208999999999999</v>
      </c>
      <c r="K132" s="747">
        <v>0.99219999999999997</v>
      </c>
      <c r="L132" s="747">
        <v>0.98599999999999999</v>
      </c>
      <c r="M132" s="747">
        <v>0.98599999999999999</v>
      </c>
      <c r="N132" s="747">
        <v>0.98329999999999995</v>
      </c>
      <c r="O132" s="748">
        <f>+Factores!F132</f>
        <v>0.98329999999999995</v>
      </c>
      <c r="Q132" s="747">
        <v>0.99229999999999996</v>
      </c>
      <c r="R132" s="747">
        <v>0.98609999999999998</v>
      </c>
      <c r="S132" s="747">
        <v>0.98609999999999998</v>
      </c>
      <c r="T132" s="748">
        <v>0.98340000000000005</v>
      </c>
      <c r="V132" s="752">
        <f t="shared" si="16"/>
        <v>-9.9999999999988987E-5</v>
      </c>
      <c r="W132" s="752">
        <f t="shared" si="17"/>
        <v>-9.9999999999988987E-5</v>
      </c>
      <c r="X132" s="752">
        <f t="shared" si="18"/>
        <v>-9.9999999999988987E-5</v>
      </c>
      <c r="Y132" s="749">
        <f t="shared" si="19"/>
        <v>-1.0000000000010001E-4</v>
      </c>
    </row>
    <row r="133" spans="1:25">
      <c r="A133" s="787" t="s">
        <v>297</v>
      </c>
      <c r="B133" s="747">
        <v>0.99329999999999996</v>
      </c>
      <c r="C133" s="747">
        <v>0.99329999999999996</v>
      </c>
      <c r="D133" s="747">
        <v>0.98050000000000004</v>
      </c>
      <c r="E133" s="747">
        <v>0.98050000000000004</v>
      </c>
      <c r="F133" s="747">
        <v>0.97060000000000002</v>
      </c>
      <c r="G133" s="747">
        <v>0.9708</v>
      </c>
      <c r="H133" s="747">
        <v>0.9708</v>
      </c>
      <c r="I133" s="747">
        <v>0.97899999999999998</v>
      </c>
      <c r="J133" s="747">
        <v>0.97899999999999998</v>
      </c>
      <c r="K133" s="747">
        <v>0.9597</v>
      </c>
      <c r="L133" s="747">
        <v>0.95689999999999997</v>
      </c>
      <c r="M133" s="747">
        <v>0.95689999999999997</v>
      </c>
      <c r="N133" s="747">
        <v>0.95509999999999995</v>
      </c>
      <c r="O133" s="748">
        <f>+Factores!F133</f>
        <v>0.95509999999999995</v>
      </c>
      <c r="Q133" s="747">
        <v>0.9597</v>
      </c>
      <c r="R133" s="747">
        <v>0.95689999999999997</v>
      </c>
      <c r="S133" s="747">
        <v>0.95689999999999997</v>
      </c>
      <c r="T133" s="748">
        <v>0.95509999999999995</v>
      </c>
      <c r="V133" s="752">
        <f t="shared" si="16"/>
        <v>0</v>
      </c>
      <c r="W133" s="752">
        <f t="shared" si="17"/>
        <v>0</v>
      </c>
      <c r="X133" s="752">
        <f t="shared" si="18"/>
        <v>0</v>
      </c>
      <c r="Y133" s="749">
        <f t="shared" si="19"/>
        <v>0</v>
      </c>
    </row>
    <row r="134" spans="1:25">
      <c r="A134" s="787" t="s">
        <v>298</v>
      </c>
      <c r="B134" s="747">
        <v>1.0681</v>
      </c>
      <c r="C134" s="747">
        <v>1.0681</v>
      </c>
      <c r="D134" s="747">
        <v>1.0517000000000001</v>
      </c>
      <c r="E134" s="747">
        <v>1.0517000000000001</v>
      </c>
      <c r="F134" s="747">
        <v>1.0373000000000001</v>
      </c>
      <c r="G134" s="747">
        <v>1.0378000000000001</v>
      </c>
      <c r="H134" s="747">
        <v>1.0378000000000001</v>
      </c>
      <c r="I134" s="747">
        <v>1.0358000000000001</v>
      </c>
      <c r="J134" s="747">
        <v>1.0358000000000001</v>
      </c>
      <c r="K134" s="747">
        <v>1.0075000000000001</v>
      </c>
      <c r="L134" s="747">
        <v>1.0016</v>
      </c>
      <c r="M134" s="747">
        <v>1.0016</v>
      </c>
      <c r="N134" s="747">
        <v>0.99960000000000004</v>
      </c>
      <c r="O134" s="748">
        <f>+Factores!F134</f>
        <v>0.99960000000000004</v>
      </c>
      <c r="Q134" s="747">
        <v>1.0075000000000001</v>
      </c>
      <c r="R134" s="747">
        <v>1.0016</v>
      </c>
      <c r="S134" s="747">
        <v>1.0016</v>
      </c>
      <c r="T134" s="748">
        <v>0.99960000000000004</v>
      </c>
      <c r="V134" s="752">
        <f t="shared" si="16"/>
        <v>0</v>
      </c>
      <c r="W134" s="752">
        <f t="shared" si="17"/>
        <v>0</v>
      </c>
      <c r="X134" s="752">
        <f t="shared" si="18"/>
        <v>0</v>
      </c>
      <c r="Y134" s="749">
        <f t="shared" si="19"/>
        <v>0</v>
      </c>
    </row>
    <row r="135" spans="1:25">
      <c r="A135" s="787" t="s">
        <v>299</v>
      </c>
      <c r="B135" s="747">
        <v>1.0676000000000001</v>
      </c>
      <c r="C135" s="747">
        <v>1.0676000000000001</v>
      </c>
      <c r="D135" s="747">
        <v>1.0777000000000001</v>
      </c>
      <c r="E135" s="747">
        <v>1.0777000000000001</v>
      </c>
      <c r="F135" s="747">
        <v>1.0843</v>
      </c>
      <c r="G135" s="747">
        <v>1.0854999999999999</v>
      </c>
      <c r="H135" s="747">
        <v>1.0854999999999999</v>
      </c>
      <c r="I135" s="747">
        <v>1.0811999999999999</v>
      </c>
      <c r="J135" s="747">
        <v>1.0811999999999999</v>
      </c>
      <c r="K135" s="747">
        <v>1.0746</v>
      </c>
      <c r="L135" s="747">
        <v>1.079</v>
      </c>
      <c r="M135" s="747">
        <v>1.079</v>
      </c>
      <c r="N135" s="747">
        <v>1.0791999999999999</v>
      </c>
      <c r="O135" s="748">
        <f>+Factores!F135</f>
        <v>1.0791999999999999</v>
      </c>
      <c r="Q135" s="747">
        <v>1.0746</v>
      </c>
      <c r="R135" s="747">
        <v>1.079</v>
      </c>
      <c r="S135" s="747">
        <v>1.079</v>
      </c>
      <c r="T135" s="748">
        <v>1.0791999999999999</v>
      </c>
      <c r="V135" s="752">
        <f t="shared" si="16"/>
        <v>0</v>
      </c>
      <c r="W135" s="752">
        <f t="shared" si="17"/>
        <v>0</v>
      </c>
      <c r="X135" s="752">
        <f t="shared" si="18"/>
        <v>0</v>
      </c>
      <c r="Y135" s="749">
        <f t="shared" si="19"/>
        <v>0</v>
      </c>
    </row>
    <row r="136" spans="1:25">
      <c r="A136" s="786" t="s">
        <v>300</v>
      </c>
      <c r="B136" s="747" t="s">
        <v>224</v>
      </c>
      <c r="C136" s="747" t="s">
        <v>224</v>
      </c>
      <c r="D136" s="747" t="s">
        <v>224</v>
      </c>
      <c r="E136" s="747" t="s">
        <v>224</v>
      </c>
      <c r="F136" s="747" t="s">
        <v>224</v>
      </c>
      <c r="G136" s="747" t="s">
        <v>224</v>
      </c>
      <c r="H136" s="747" t="s">
        <v>224</v>
      </c>
      <c r="I136" s="747" t="s">
        <v>224</v>
      </c>
      <c r="J136" s="747" t="s">
        <v>224</v>
      </c>
      <c r="K136" s="747" t="s">
        <v>224</v>
      </c>
      <c r="L136" s="747" t="s">
        <v>224</v>
      </c>
      <c r="M136" s="747" t="s">
        <v>224</v>
      </c>
      <c r="N136" s="747" t="s">
        <v>224</v>
      </c>
      <c r="O136" s="748" t="str">
        <f>+Factores!F136</f>
        <v/>
      </c>
      <c r="Q136" s="747" t="s">
        <v>224</v>
      </c>
      <c r="R136" s="747" t="s">
        <v>224</v>
      </c>
      <c r="S136" s="747" t="s">
        <v>224</v>
      </c>
      <c r="T136" s="748" t="s">
        <v>224</v>
      </c>
      <c r="V136" s="752" t="str">
        <f t="shared" si="16"/>
        <v/>
      </c>
      <c r="W136" s="752" t="str">
        <f t="shared" si="17"/>
        <v/>
      </c>
      <c r="X136" s="752" t="str">
        <f t="shared" si="18"/>
        <v/>
      </c>
      <c r="Y136" s="749" t="str">
        <f t="shared" si="19"/>
        <v/>
      </c>
    </row>
    <row r="137" spans="1:25">
      <c r="A137" s="787" t="s">
        <v>295</v>
      </c>
      <c r="B137" s="747">
        <v>1.0217000000000001</v>
      </c>
      <c r="C137" s="747">
        <v>1.0217000000000001</v>
      </c>
      <c r="D137" s="747">
        <v>1.0074000000000001</v>
      </c>
      <c r="E137" s="747">
        <v>1.0074000000000001</v>
      </c>
      <c r="F137" s="747">
        <v>0.99570000000000003</v>
      </c>
      <c r="G137" s="747">
        <v>0.996</v>
      </c>
      <c r="H137" s="747">
        <v>0.996</v>
      </c>
      <c r="I137" s="747">
        <v>0.99990000000000001</v>
      </c>
      <c r="J137" s="747">
        <v>0.99990000000000001</v>
      </c>
      <c r="K137" s="747">
        <v>0.9768</v>
      </c>
      <c r="L137" s="747">
        <v>0.97270000000000001</v>
      </c>
      <c r="M137" s="747">
        <v>0.97270000000000001</v>
      </c>
      <c r="N137" s="747">
        <v>0.97060000000000002</v>
      </c>
      <c r="O137" s="748">
        <f>+Factores!F137</f>
        <v>0.97060000000000002</v>
      </c>
      <c r="Q137" s="747">
        <v>0.97689999999999999</v>
      </c>
      <c r="R137" s="747">
        <v>0.97270000000000001</v>
      </c>
      <c r="S137" s="747">
        <v>0.97270000000000001</v>
      </c>
      <c r="T137" s="748">
        <v>0.97060000000000002</v>
      </c>
      <c r="V137" s="752">
        <f t="shared" ref="V137:V147" si="20">IF(ISERR(K137-Q137),"",K137-Q137)</f>
        <v>-9.9999999999988987E-5</v>
      </c>
      <c r="W137" s="752">
        <f t="shared" ref="W137:W147" si="21">IF(ISERR(L137-R137),"",L137-R137)</f>
        <v>0</v>
      </c>
      <c r="X137" s="752">
        <f t="shared" ref="X137:X147" si="22">IF(ISERR(M137-S137),"",M137-S137)</f>
        <v>0</v>
      </c>
      <c r="Y137" s="749">
        <f t="shared" ref="Y137:Y147" si="23">IF(ISERR(N137-T137),"",N137-T137)</f>
        <v>0</v>
      </c>
    </row>
    <row r="138" spans="1:25">
      <c r="A138" s="786" t="s">
        <v>301</v>
      </c>
      <c r="B138" s="747" t="s">
        <v>224</v>
      </c>
      <c r="C138" s="747" t="s">
        <v>224</v>
      </c>
      <c r="D138" s="747" t="s">
        <v>224</v>
      </c>
      <c r="E138" s="747" t="s">
        <v>224</v>
      </c>
      <c r="F138" s="747" t="s">
        <v>224</v>
      </c>
      <c r="G138" s="747" t="s">
        <v>224</v>
      </c>
      <c r="H138" s="747" t="s">
        <v>224</v>
      </c>
      <c r="I138" s="747" t="s">
        <v>224</v>
      </c>
      <c r="J138" s="747" t="s">
        <v>224</v>
      </c>
      <c r="K138" s="747" t="s">
        <v>224</v>
      </c>
      <c r="L138" s="747" t="s">
        <v>224</v>
      </c>
      <c r="M138" s="747" t="s">
        <v>224</v>
      </c>
      <c r="N138" s="747" t="s">
        <v>224</v>
      </c>
      <c r="O138" s="748" t="str">
        <f>+Factores!F138</f>
        <v/>
      </c>
      <c r="Q138" s="747" t="s">
        <v>224</v>
      </c>
      <c r="R138" s="747" t="s">
        <v>224</v>
      </c>
      <c r="S138" s="747" t="s">
        <v>224</v>
      </c>
      <c r="T138" s="748" t="s">
        <v>224</v>
      </c>
      <c r="V138" s="752" t="str">
        <f t="shared" si="20"/>
        <v/>
      </c>
      <c r="W138" s="752" t="str">
        <f t="shared" si="21"/>
        <v/>
      </c>
      <c r="X138" s="752" t="str">
        <f t="shared" si="22"/>
        <v/>
      </c>
      <c r="Y138" s="749" t="str">
        <f t="shared" si="23"/>
        <v/>
      </c>
    </row>
    <row r="139" spans="1:25">
      <c r="A139" s="787" t="s">
        <v>295</v>
      </c>
      <c r="B139" s="747">
        <v>1.133</v>
      </c>
      <c r="C139" s="747">
        <v>1.133</v>
      </c>
      <c r="D139" s="747">
        <v>1.0994999999999999</v>
      </c>
      <c r="E139" s="747">
        <v>1.0994999999999999</v>
      </c>
      <c r="F139" s="747">
        <v>1.0704</v>
      </c>
      <c r="G139" s="747">
        <v>1.0707</v>
      </c>
      <c r="H139" s="747">
        <v>1.0707</v>
      </c>
      <c r="I139" s="747">
        <v>1.0611999999999999</v>
      </c>
      <c r="J139" s="747">
        <v>1.0611999999999999</v>
      </c>
      <c r="K139" s="747">
        <v>1.0136000000000001</v>
      </c>
      <c r="L139" s="747">
        <v>0.99960000000000004</v>
      </c>
      <c r="M139" s="747">
        <v>0.99960000000000004</v>
      </c>
      <c r="N139" s="747">
        <v>0.99609999999999999</v>
      </c>
      <c r="O139" s="748">
        <f>+Factores!F139</f>
        <v>0.99609999999999999</v>
      </c>
      <c r="Q139" s="747">
        <v>1.0136000000000001</v>
      </c>
      <c r="R139" s="747">
        <v>0.99960000000000004</v>
      </c>
      <c r="S139" s="747">
        <v>0.99960000000000004</v>
      </c>
      <c r="T139" s="748">
        <v>0.99609999999999999</v>
      </c>
      <c r="V139" s="752">
        <f t="shared" si="20"/>
        <v>0</v>
      </c>
      <c r="W139" s="752">
        <f t="shared" si="21"/>
        <v>0</v>
      </c>
      <c r="X139" s="752">
        <f t="shared" si="22"/>
        <v>0</v>
      </c>
      <c r="Y139" s="749">
        <f t="shared" si="23"/>
        <v>0</v>
      </c>
    </row>
    <row r="140" spans="1:25">
      <c r="A140" s="785" t="s">
        <v>302</v>
      </c>
      <c r="B140" s="747" t="s">
        <v>224</v>
      </c>
      <c r="C140" s="747" t="s">
        <v>224</v>
      </c>
      <c r="D140" s="747" t="s">
        <v>224</v>
      </c>
      <c r="E140" s="747" t="s">
        <v>224</v>
      </c>
      <c r="F140" s="747" t="s">
        <v>224</v>
      </c>
      <c r="G140" s="747" t="s">
        <v>224</v>
      </c>
      <c r="H140" s="747" t="s">
        <v>224</v>
      </c>
      <c r="I140" s="747" t="s">
        <v>224</v>
      </c>
      <c r="J140" s="747" t="s">
        <v>224</v>
      </c>
      <c r="K140" s="747" t="s">
        <v>224</v>
      </c>
      <c r="L140" s="747" t="s">
        <v>224</v>
      </c>
      <c r="M140" s="747" t="s">
        <v>224</v>
      </c>
      <c r="N140" s="747" t="s">
        <v>224</v>
      </c>
      <c r="O140" s="748" t="str">
        <f>+Factores!F140</f>
        <v/>
      </c>
      <c r="Q140" s="747" t="s">
        <v>224</v>
      </c>
      <c r="R140" s="747" t="s">
        <v>224</v>
      </c>
      <c r="S140" s="747" t="s">
        <v>224</v>
      </c>
      <c r="T140" s="748" t="s">
        <v>224</v>
      </c>
      <c r="V140" s="752" t="str">
        <f t="shared" si="20"/>
        <v/>
      </c>
      <c r="W140" s="752" t="str">
        <f t="shared" si="21"/>
        <v/>
      </c>
      <c r="X140" s="752" t="str">
        <f t="shared" si="22"/>
        <v/>
      </c>
      <c r="Y140" s="749" t="str">
        <f t="shared" si="23"/>
        <v/>
      </c>
    </row>
    <row r="141" spans="1:25">
      <c r="A141" s="787" t="s">
        <v>295</v>
      </c>
      <c r="B141" s="747">
        <v>1.0569</v>
      </c>
      <c r="C141" s="747">
        <v>1.0569</v>
      </c>
      <c r="D141" s="747">
        <v>1.0637000000000001</v>
      </c>
      <c r="E141" s="747">
        <v>1.0637000000000001</v>
      </c>
      <c r="F141" s="747">
        <v>1.0678000000000001</v>
      </c>
      <c r="G141" s="747">
        <v>1.069</v>
      </c>
      <c r="H141" s="747">
        <v>1.069</v>
      </c>
      <c r="I141" s="747">
        <v>1.0664</v>
      </c>
      <c r="J141" s="747">
        <v>1.0664</v>
      </c>
      <c r="K141" s="747">
        <v>1.0580000000000001</v>
      </c>
      <c r="L141" s="747">
        <v>1.0612999999999999</v>
      </c>
      <c r="M141" s="747">
        <v>1.0612999999999999</v>
      </c>
      <c r="N141" s="747">
        <v>1.0612999999999999</v>
      </c>
      <c r="O141" s="748">
        <f>+Factores!F141</f>
        <v>1.0612999999999999</v>
      </c>
      <c r="Q141" s="747">
        <v>1.0580000000000001</v>
      </c>
      <c r="R141" s="747">
        <v>1.0612999999999999</v>
      </c>
      <c r="S141" s="747">
        <v>1.0612999999999999</v>
      </c>
      <c r="T141" s="748">
        <v>1.0612999999999999</v>
      </c>
      <c r="V141" s="752">
        <f t="shared" si="20"/>
        <v>0</v>
      </c>
      <c r="W141" s="752">
        <f t="shared" si="21"/>
        <v>0</v>
      </c>
      <c r="X141" s="752">
        <f t="shared" si="22"/>
        <v>0</v>
      </c>
      <c r="Y141" s="749">
        <f t="shared" si="23"/>
        <v>0</v>
      </c>
    </row>
    <row r="142" spans="1:25">
      <c r="A142" s="788" t="s">
        <v>303</v>
      </c>
      <c r="B142" s="750">
        <v>1.0622</v>
      </c>
      <c r="C142" s="750">
        <v>1.0622</v>
      </c>
      <c r="D142" s="750">
        <v>1.0707</v>
      </c>
      <c r="E142" s="750">
        <v>1.0707</v>
      </c>
      <c r="F142" s="750">
        <v>1.0760000000000001</v>
      </c>
      <c r="G142" s="750">
        <v>1.0772999999999999</v>
      </c>
      <c r="H142" s="750">
        <v>1.0772999999999999</v>
      </c>
      <c r="I142" s="750">
        <v>1.0738000000000001</v>
      </c>
      <c r="J142" s="750">
        <v>1.0738000000000001</v>
      </c>
      <c r="K142" s="750">
        <v>1.0663</v>
      </c>
      <c r="L142" s="750">
        <v>1.0701000000000001</v>
      </c>
      <c r="M142" s="750">
        <v>1.0701000000000001</v>
      </c>
      <c r="N142" s="750">
        <v>1.0703</v>
      </c>
      <c r="O142" s="751">
        <f>+Factores!F142</f>
        <v>1.0703</v>
      </c>
      <c r="Q142" s="750">
        <v>1.0663</v>
      </c>
      <c r="R142" s="750">
        <v>1.0701000000000001</v>
      </c>
      <c r="S142" s="750">
        <v>1.0701000000000001</v>
      </c>
      <c r="T142" s="751">
        <v>1.0703</v>
      </c>
      <c r="V142" s="753">
        <f t="shared" si="20"/>
        <v>0</v>
      </c>
      <c r="W142" s="753">
        <f t="shared" si="21"/>
        <v>0</v>
      </c>
      <c r="X142" s="753">
        <f t="shared" si="22"/>
        <v>0</v>
      </c>
      <c r="Y142" s="754">
        <f t="shared" si="23"/>
        <v>0</v>
      </c>
    </row>
    <row r="143" spans="1:25">
      <c r="A143" s="787" t="s">
        <v>224</v>
      </c>
      <c r="B143" s="747" t="s">
        <v>224</v>
      </c>
      <c r="C143" s="747" t="s">
        <v>224</v>
      </c>
      <c r="D143" s="747" t="s">
        <v>224</v>
      </c>
      <c r="E143" s="747" t="s">
        <v>224</v>
      </c>
      <c r="F143" s="747" t="s">
        <v>224</v>
      </c>
      <c r="G143" s="747" t="s">
        <v>224</v>
      </c>
      <c r="H143" s="747" t="s">
        <v>224</v>
      </c>
      <c r="I143" s="747" t="s">
        <v>224</v>
      </c>
      <c r="J143" s="747" t="s">
        <v>224</v>
      </c>
      <c r="K143" s="747" t="s">
        <v>224</v>
      </c>
      <c r="L143" s="747" t="s">
        <v>224</v>
      </c>
      <c r="M143" s="747" t="s">
        <v>224</v>
      </c>
      <c r="N143" s="747" t="s">
        <v>224</v>
      </c>
      <c r="O143" s="748" t="str">
        <f>+Factores!F143</f>
        <v/>
      </c>
      <c r="Q143" s="747" t="s">
        <v>224</v>
      </c>
      <c r="R143" s="747" t="s">
        <v>224</v>
      </c>
      <c r="S143" s="747" t="s">
        <v>224</v>
      </c>
      <c r="T143" s="748" t="s">
        <v>224</v>
      </c>
      <c r="V143" s="752" t="str">
        <f t="shared" si="20"/>
        <v/>
      </c>
      <c r="W143" s="752" t="str">
        <f t="shared" si="21"/>
        <v/>
      </c>
      <c r="X143" s="752" t="str">
        <f t="shared" si="22"/>
        <v/>
      </c>
      <c r="Y143" s="749" t="str">
        <f t="shared" si="23"/>
        <v/>
      </c>
    </row>
    <row r="144" spans="1:25">
      <c r="A144" s="787" t="s">
        <v>224</v>
      </c>
      <c r="B144" s="747" t="s">
        <v>224</v>
      </c>
      <c r="C144" s="747" t="s">
        <v>224</v>
      </c>
      <c r="D144" s="747" t="s">
        <v>224</v>
      </c>
      <c r="E144" s="747" t="s">
        <v>224</v>
      </c>
      <c r="F144" s="747" t="s">
        <v>224</v>
      </c>
      <c r="G144" s="747" t="s">
        <v>224</v>
      </c>
      <c r="H144" s="747" t="s">
        <v>224</v>
      </c>
      <c r="I144" s="747" t="s">
        <v>224</v>
      </c>
      <c r="J144" s="747" t="s">
        <v>224</v>
      </c>
      <c r="K144" s="747" t="s">
        <v>224</v>
      </c>
      <c r="L144" s="747" t="s">
        <v>224</v>
      </c>
      <c r="M144" s="747" t="s">
        <v>224</v>
      </c>
      <c r="N144" s="747" t="s">
        <v>224</v>
      </c>
      <c r="O144" s="748" t="str">
        <f>+Factores!F144</f>
        <v/>
      </c>
      <c r="Q144" s="747" t="s">
        <v>224</v>
      </c>
      <c r="R144" s="747" t="s">
        <v>224</v>
      </c>
      <c r="S144" s="747" t="s">
        <v>224</v>
      </c>
      <c r="T144" s="748" t="s">
        <v>224</v>
      </c>
      <c r="V144" s="752" t="str">
        <f t="shared" si="20"/>
        <v/>
      </c>
      <c r="W144" s="752" t="str">
        <f t="shared" si="21"/>
        <v/>
      </c>
      <c r="X144" s="752" t="str">
        <f t="shared" si="22"/>
        <v/>
      </c>
      <c r="Y144" s="749" t="str">
        <f t="shared" si="23"/>
        <v/>
      </c>
    </row>
    <row r="145" spans="1:25" s="250" customFormat="1">
      <c r="A145" s="785" t="s">
        <v>724</v>
      </c>
      <c r="B145" s="745" t="s">
        <v>224</v>
      </c>
      <c r="C145" s="745" t="s">
        <v>224</v>
      </c>
      <c r="D145" s="745" t="s">
        <v>224</v>
      </c>
      <c r="E145" s="745" t="s">
        <v>224</v>
      </c>
      <c r="F145" s="745" t="s">
        <v>224</v>
      </c>
      <c r="G145" s="745" t="s">
        <v>224</v>
      </c>
      <c r="H145" s="745" t="s">
        <v>224</v>
      </c>
      <c r="I145" s="745" t="s">
        <v>224</v>
      </c>
      <c r="J145" s="745" t="s">
        <v>224</v>
      </c>
      <c r="K145" s="745" t="s">
        <v>224</v>
      </c>
      <c r="L145" s="745" t="s">
        <v>224</v>
      </c>
      <c r="M145" s="745" t="s">
        <v>224</v>
      </c>
      <c r="N145" s="745" t="s">
        <v>224</v>
      </c>
      <c r="O145" s="745" t="str">
        <f>+Factores!F145</f>
        <v/>
      </c>
      <c r="P145" s="760"/>
      <c r="Q145" s="745" t="s">
        <v>224</v>
      </c>
      <c r="R145" s="745" t="s">
        <v>224</v>
      </c>
      <c r="S145" s="745" t="s">
        <v>224</v>
      </c>
      <c r="T145" s="745" t="s">
        <v>224</v>
      </c>
      <c r="U145" s="760"/>
      <c r="V145" s="746" t="str">
        <f t="shared" si="20"/>
        <v/>
      </c>
      <c r="W145" s="746" t="str">
        <f t="shared" si="21"/>
        <v/>
      </c>
      <c r="X145" s="746" t="str">
        <f t="shared" si="22"/>
        <v/>
      </c>
      <c r="Y145" s="746" t="str">
        <f t="shared" si="23"/>
        <v/>
      </c>
    </row>
    <row r="146" spans="1:25">
      <c r="A146" s="785" t="s">
        <v>224</v>
      </c>
      <c r="B146" s="744" t="s">
        <v>224</v>
      </c>
      <c r="C146" s="744" t="s">
        <v>224</v>
      </c>
      <c r="D146" s="744" t="s">
        <v>224</v>
      </c>
      <c r="E146" s="744" t="s">
        <v>224</v>
      </c>
      <c r="F146" s="744" t="s">
        <v>224</v>
      </c>
      <c r="G146" s="744" t="s">
        <v>224</v>
      </c>
      <c r="H146" s="744" t="s">
        <v>224</v>
      </c>
      <c r="I146" s="744" t="s">
        <v>224</v>
      </c>
      <c r="J146" s="744" t="s">
        <v>224</v>
      </c>
      <c r="K146" s="744" t="s">
        <v>224</v>
      </c>
      <c r="L146" s="744" t="s">
        <v>224</v>
      </c>
      <c r="M146" s="744" t="s">
        <v>224</v>
      </c>
      <c r="N146" s="744" t="s">
        <v>224</v>
      </c>
      <c r="O146" s="745" t="str">
        <f>+Factores!F146</f>
        <v/>
      </c>
      <c r="Q146" s="744" t="s">
        <v>224</v>
      </c>
      <c r="R146" s="744" t="s">
        <v>224</v>
      </c>
      <c r="S146" s="744" t="s">
        <v>224</v>
      </c>
      <c r="T146" s="745" t="s">
        <v>224</v>
      </c>
      <c r="V146" s="766" t="str">
        <f t="shared" si="20"/>
        <v/>
      </c>
      <c r="W146" s="766" t="str">
        <f t="shared" si="21"/>
        <v/>
      </c>
      <c r="X146" s="766" t="str">
        <f t="shared" si="22"/>
        <v/>
      </c>
      <c r="Y146" s="746" t="str">
        <f t="shared" si="23"/>
        <v/>
      </c>
    </row>
    <row r="147" spans="1:25">
      <c r="A147" s="788" t="s">
        <v>304</v>
      </c>
      <c r="B147" s="750">
        <v>1.0384</v>
      </c>
      <c r="C147" s="750">
        <v>1.0384</v>
      </c>
      <c r="D147" s="750">
        <v>1.0482</v>
      </c>
      <c r="E147" s="750">
        <v>1.0482</v>
      </c>
      <c r="F147" s="750">
        <v>1.0546</v>
      </c>
      <c r="G147" s="750">
        <v>1.0559000000000001</v>
      </c>
      <c r="H147" s="750">
        <v>1.0559000000000001</v>
      </c>
      <c r="I147" s="750">
        <v>1.0516000000000001</v>
      </c>
      <c r="J147" s="750">
        <v>1.0516000000000001</v>
      </c>
      <c r="K147" s="750">
        <v>1.0452999999999999</v>
      </c>
      <c r="L147" s="750">
        <v>1.0495000000000001</v>
      </c>
      <c r="M147" s="750">
        <v>1.0495000000000001</v>
      </c>
      <c r="N147" s="750">
        <v>1.0497000000000001</v>
      </c>
      <c r="O147" s="751">
        <f>+Factores!F147</f>
        <v>1.0497000000000001</v>
      </c>
      <c r="Q147" s="750">
        <v>1.0452999999999999</v>
      </c>
      <c r="R147" s="750">
        <v>1.0495000000000001</v>
      </c>
      <c r="S147" s="750">
        <v>1.0495000000000001</v>
      </c>
      <c r="T147" s="751">
        <v>1.0497000000000001</v>
      </c>
      <c r="V147" s="753">
        <f t="shared" si="20"/>
        <v>0</v>
      </c>
      <c r="W147" s="753">
        <f t="shared" si="21"/>
        <v>0</v>
      </c>
      <c r="X147" s="753">
        <f t="shared" si="22"/>
        <v>0</v>
      </c>
      <c r="Y147" s="754">
        <f t="shared" si="23"/>
        <v>0</v>
      </c>
    </row>
    <row r="148" spans="1:25">
      <c r="A148" s="789"/>
      <c r="C148" s="761"/>
      <c r="D148" s="761"/>
      <c r="H148" s="767"/>
      <c r="I148" s="767"/>
      <c r="N148" s="768"/>
      <c r="T148" s="768"/>
      <c r="Y148" s="768"/>
    </row>
    <row r="149" spans="1:25">
      <c r="A149" s="789"/>
      <c r="C149" s="761"/>
      <c r="D149" s="761"/>
      <c r="H149" s="767"/>
      <c r="I149" s="767"/>
      <c r="N149" s="769"/>
      <c r="T149" s="769"/>
      <c r="Y149" s="769"/>
    </row>
    <row r="150" spans="1:25">
      <c r="A150" s="789"/>
      <c r="C150" s="761"/>
      <c r="D150" s="761"/>
      <c r="H150" s="767"/>
      <c r="I150" s="767"/>
    </row>
    <row r="151" spans="1:25">
      <c r="A151" s="789"/>
      <c r="C151" s="761"/>
      <c r="D151" s="761"/>
      <c r="H151" s="767"/>
      <c r="I151" s="767"/>
    </row>
    <row r="152" spans="1:25">
      <c r="A152" s="789"/>
      <c r="C152" s="761"/>
      <c r="D152" s="761"/>
      <c r="H152" s="767"/>
      <c r="I152" s="767"/>
    </row>
    <row r="153" spans="1:25">
      <c r="A153" s="789"/>
      <c r="C153" s="761"/>
      <c r="D153" s="761"/>
      <c r="H153" s="767"/>
      <c r="I153" s="767"/>
    </row>
    <row r="154" spans="1:25">
      <c r="A154" s="789"/>
      <c r="C154" s="761"/>
      <c r="D154" s="761"/>
      <c r="H154" s="767"/>
      <c r="I154" s="767"/>
    </row>
    <row r="155" spans="1:25">
      <c r="A155" s="789"/>
      <c r="C155" s="761"/>
      <c r="D155" s="761"/>
      <c r="H155" s="767"/>
      <c r="I155" s="767"/>
    </row>
    <row r="156" spans="1:25">
      <c r="A156" s="789"/>
      <c r="C156" s="761"/>
      <c r="D156" s="761"/>
      <c r="H156" s="767"/>
      <c r="I156" s="767"/>
    </row>
    <row r="157" spans="1:25">
      <c r="A157" s="789"/>
      <c r="C157" s="761"/>
      <c r="D157" s="761"/>
      <c r="H157" s="767"/>
      <c r="I157" s="767"/>
    </row>
    <row r="158" spans="1:25">
      <c r="A158" s="789"/>
      <c r="C158" s="761"/>
      <c r="D158" s="761"/>
      <c r="H158" s="767"/>
      <c r="I158" s="767"/>
    </row>
    <row r="159" spans="1:25">
      <c r="A159" s="789"/>
      <c r="C159" s="761"/>
      <c r="D159" s="761"/>
      <c r="H159" s="767"/>
      <c r="I159" s="767"/>
    </row>
    <row r="160" spans="1:25">
      <c r="A160" s="789"/>
      <c r="C160" s="761"/>
      <c r="D160" s="761"/>
      <c r="H160" s="767"/>
      <c r="I160" s="767"/>
    </row>
    <row r="161" spans="1:9">
      <c r="A161" s="789"/>
      <c r="C161" s="761"/>
      <c r="D161" s="761"/>
      <c r="H161" s="767"/>
      <c r="I161" s="767"/>
    </row>
    <row r="162" spans="1:9">
      <c r="A162" s="789"/>
      <c r="C162" s="761"/>
      <c r="D162" s="761"/>
      <c r="H162" s="767"/>
      <c r="I162" s="767"/>
    </row>
    <row r="163" spans="1:9">
      <c r="A163" s="789"/>
      <c r="C163" s="761"/>
      <c r="D163" s="761"/>
      <c r="H163" s="767"/>
      <c r="I163" s="767"/>
    </row>
    <row r="164" spans="1:9">
      <c r="A164" s="789"/>
      <c r="C164" s="761"/>
      <c r="D164" s="761"/>
      <c r="H164" s="767"/>
      <c r="I164" s="767"/>
    </row>
    <row r="165" spans="1:9">
      <c r="A165" s="789"/>
      <c r="C165" s="761"/>
      <c r="D165" s="761"/>
      <c r="H165" s="767"/>
      <c r="I165" s="767"/>
    </row>
    <row r="166" spans="1:9">
      <c r="A166" s="789"/>
      <c r="C166" s="761"/>
      <c r="D166" s="761"/>
      <c r="H166" s="767"/>
      <c r="I166" s="767"/>
    </row>
    <row r="167" spans="1:9">
      <c r="A167" s="789"/>
      <c r="C167" s="761"/>
      <c r="D167" s="761"/>
      <c r="H167" s="767"/>
      <c r="I167" s="767"/>
    </row>
    <row r="168" spans="1:9">
      <c r="A168" s="789"/>
      <c r="C168" s="761"/>
      <c r="D168" s="761"/>
      <c r="H168" s="767"/>
      <c r="I168" s="767"/>
    </row>
    <row r="169" spans="1:9">
      <c r="A169" s="789"/>
      <c r="C169" s="761"/>
      <c r="D169" s="761"/>
      <c r="H169" s="767"/>
      <c r="I169" s="767"/>
    </row>
    <row r="170" spans="1:9">
      <c r="A170" s="789"/>
      <c r="C170" s="761"/>
      <c r="D170" s="761"/>
      <c r="H170" s="767"/>
      <c r="I170" s="767"/>
    </row>
    <row r="171" spans="1:9">
      <c r="A171" s="789"/>
      <c r="C171" s="761"/>
      <c r="D171" s="761"/>
      <c r="H171" s="767"/>
      <c r="I171" s="767"/>
    </row>
    <row r="172" spans="1:9">
      <c r="A172" s="789"/>
      <c r="C172" s="761"/>
      <c r="D172" s="761"/>
      <c r="H172" s="767"/>
      <c r="I172" s="767"/>
    </row>
    <row r="173" spans="1:9">
      <c r="A173" s="789"/>
      <c r="C173" s="761"/>
      <c r="D173" s="761"/>
      <c r="H173" s="767"/>
      <c r="I173" s="767"/>
    </row>
    <row r="174" spans="1:9">
      <c r="A174" s="789"/>
    </row>
    <row r="175" spans="1:9">
      <c r="A175" s="755"/>
    </row>
    <row r="176" spans="1:9">
      <c r="A176" s="755"/>
    </row>
    <row r="177" spans="1:1">
      <c r="A177" s="755"/>
    </row>
    <row r="178" spans="1:1">
      <c r="A178" s="755"/>
    </row>
    <row r="179" spans="1:1">
      <c r="A179" s="755"/>
    </row>
  </sheetData>
  <conditionalFormatting sqref="V6:Y10 V12:Y147">
    <cfRule type="cellIs" dxfId="87" priority="2" operator="lessThan">
      <formula>0</formula>
    </cfRule>
  </conditionalFormatting>
  <conditionalFormatting sqref="V11:Y11">
    <cfRule type="cellIs" dxfId="86" priority="1" operator="lessThan">
      <formula>0</formula>
    </cfRule>
  </conditionalFormatting>
  <printOptions horizontalCentered="1"/>
  <pageMargins left="0.78740157480314965" right="0.78740157480314965" top="0.78740157480314965" bottom="0.78740157480314965" header="0" footer="0"/>
  <pageSetup paperSize="9" scale="41" fitToHeight="2" orientation="portrait" r:id="rId1"/>
  <headerFooter alignWithMargins="0">
    <oddFooter>&amp;RPágina &amp;P de &amp;N</oddFooter>
  </headerFooter>
  <rowBreaks count="1" manualBreakCount="1">
    <brk id="126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EW185"/>
  <sheetViews>
    <sheetView showGridLines="0" zoomScaleNormal="100" zoomScaleSheetLayoutView="70" workbookViewId="0"/>
  </sheetViews>
  <sheetFormatPr baseColWidth="10" defaultColWidth="7.21875" defaultRowHeight="18"/>
  <cols>
    <col min="1" max="1" width="65.6640625" style="10" customWidth="1"/>
    <col min="2" max="2" width="13.6640625" style="6" customWidth="1"/>
    <col min="3" max="3" width="15.44140625" style="9" customWidth="1"/>
    <col min="4" max="4" width="14.21875" style="73" bestFit="1" customWidth="1"/>
    <col min="5" max="5" width="2.33203125" style="8" customWidth="1"/>
    <col min="6" max="6" width="18.33203125" style="63" customWidth="1"/>
    <col min="7" max="10" width="20.21875" style="63" customWidth="1"/>
    <col min="11" max="12" width="20.21875" style="1" customWidth="1"/>
    <col min="13" max="13" width="14.88671875" style="249" customWidth="1"/>
    <col min="14" max="15" width="13.44140625" style="249" customWidth="1"/>
    <col min="16" max="16" width="24.88671875" style="249" customWidth="1"/>
    <col min="17" max="17" width="10.44140625" style="249" bestFit="1" customWidth="1"/>
    <col min="18" max="18" width="23.77734375" style="249" bestFit="1" customWidth="1"/>
    <col min="19" max="19" width="41.109375" style="249" bestFit="1" customWidth="1"/>
    <col min="20" max="20" width="37.88671875" style="249" bestFit="1" customWidth="1"/>
    <col min="21" max="21" width="7.21875" style="249" bestFit="1" customWidth="1"/>
    <col min="22" max="22" width="6.109375" style="249" bestFit="1" customWidth="1"/>
    <col min="23" max="23" width="7.109375" style="249" customWidth="1"/>
    <col min="24" max="24" width="17.5546875" style="249" customWidth="1"/>
    <col min="25" max="26" width="9" style="249" customWidth="1"/>
    <col min="27" max="27" width="14" style="249" customWidth="1"/>
    <col min="28" max="28" width="26.44140625" style="251" bestFit="1" customWidth="1"/>
    <col min="29" max="29" width="23" style="251" bestFit="1" customWidth="1"/>
    <col min="30" max="30" width="39.77734375" style="251" bestFit="1" customWidth="1"/>
    <col min="31" max="31" width="36.6640625" style="251" bestFit="1" customWidth="1"/>
    <col min="32" max="33" width="11" style="251" bestFit="1" customWidth="1"/>
    <col min="34" max="34" width="7.109375" style="249" customWidth="1"/>
    <col min="35" max="35" width="12.6640625" style="249" customWidth="1"/>
    <col min="36" max="37" width="9" style="249" customWidth="1"/>
    <col min="38" max="38" width="11" style="249" customWidth="1"/>
    <col min="39" max="39" width="26.44140625" style="251" bestFit="1" customWidth="1"/>
    <col min="40" max="40" width="23" style="251" bestFit="1" customWidth="1"/>
    <col min="41" max="41" width="39.77734375" style="251" bestFit="1" customWidth="1"/>
    <col min="42" max="42" width="36.6640625" style="251" bestFit="1" customWidth="1"/>
    <col min="43" max="44" width="11" style="251" bestFit="1" customWidth="1"/>
    <col min="45" max="45" width="11" style="251" customWidth="1"/>
    <col min="46" max="47" width="17.44140625" style="249" customWidth="1"/>
    <col min="48" max="49" width="20.44140625" style="249" customWidth="1"/>
    <col min="50" max="52" width="12.33203125" style="249" bestFit="1" customWidth="1"/>
    <col min="53" max="53" width="34.77734375" style="249" bestFit="1" customWidth="1"/>
    <col min="54" max="59" width="12.33203125" style="249" bestFit="1" customWidth="1"/>
    <col min="60" max="68" width="7.109375" style="249" customWidth="1"/>
    <col min="69" max="69" width="12.6640625" style="249" customWidth="1"/>
    <col min="70" max="71" width="9" style="249" customWidth="1"/>
    <col min="72" max="72" width="11" style="249" customWidth="1"/>
    <col min="73" max="73" width="26.44140625" style="251" bestFit="1" customWidth="1"/>
    <col min="74" max="74" width="23" style="251" bestFit="1" customWidth="1"/>
    <col min="75" max="75" width="39.77734375" style="251" bestFit="1" customWidth="1"/>
    <col min="76" max="76" width="36.6640625" style="251" bestFit="1" customWidth="1"/>
    <col min="77" max="78" width="11" style="251" bestFit="1" customWidth="1"/>
    <col min="79" max="79" width="11" style="251" customWidth="1"/>
    <col min="80" max="81" width="17.44140625" style="249" customWidth="1"/>
    <col min="82" max="83" width="20.44140625" style="249" customWidth="1"/>
    <col min="84" max="86" width="12.33203125" style="249" bestFit="1" customWidth="1"/>
    <col min="87" max="87" width="34.77734375" style="249" bestFit="1" customWidth="1"/>
    <col min="88" max="93" width="12.33203125" style="249" bestFit="1" customWidth="1"/>
    <col min="94" max="101" width="7.109375" style="249" customWidth="1"/>
    <col min="102" max="102" width="22.88671875" style="250" customWidth="1"/>
    <col min="103" max="103" width="21.77734375" style="250" customWidth="1"/>
    <col min="104" max="104" width="27.6640625" style="249" bestFit="1" customWidth="1"/>
    <col min="105" max="105" width="27.44140625" style="249" bestFit="1" customWidth="1"/>
    <col min="106" max="106" width="31.109375" style="249" bestFit="1" customWidth="1"/>
    <col min="107" max="107" width="16.5546875" style="249" bestFit="1" customWidth="1"/>
    <col min="108" max="108" width="12" style="249" bestFit="1" customWidth="1"/>
    <col min="109" max="109" width="14.21875" style="249" bestFit="1" customWidth="1"/>
    <col min="110" max="110" width="24.33203125" style="249" customWidth="1"/>
    <col min="111" max="111" width="29.88671875" style="249" bestFit="1" customWidth="1"/>
    <col min="112" max="112" width="52.77734375" style="249" bestFit="1" customWidth="1"/>
    <col min="113" max="113" width="25.88671875" style="249" bestFit="1" customWidth="1"/>
    <col min="114" max="116" width="7.21875" style="249"/>
    <col min="117" max="117" width="15.44140625" style="249" customWidth="1"/>
    <col min="118" max="119" width="14.44140625" style="249" customWidth="1"/>
    <col min="120" max="120" width="10" style="249" bestFit="1" customWidth="1"/>
    <col min="121" max="121" width="16.44140625" style="249" bestFit="1" customWidth="1"/>
    <col min="122" max="122" width="15.77734375" style="249" customWidth="1"/>
    <col min="123" max="123" width="14.88671875" style="249" bestFit="1" customWidth="1"/>
    <col min="124" max="124" width="11" style="249" bestFit="1" customWidth="1"/>
    <col min="125" max="125" width="13.6640625" style="249" bestFit="1" customWidth="1"/>
    <col min="126" max="126" width="14.109375" style="249" bestFit="1" customWidth="1"/>
    <col min="127" max="127" width="10.5546875" style="249" bestFit="1" customWidth="1"/>
    <col min="128" max="128" width="12.5546875" style="249" bestFit="1" customWidth="1"/>
    <col min="129" max="129" width="8.21875" style="249" bestFit="1" customWidth="1"/>
    <col min="130" max="153" width="7.21875" style="249"/>
    <col min="154" max="16384" width="7.21875" style="1"/>
  </cols>
  <sheetData>
    <row r="1" spans="1:129" ht="26.25">
      <c r="A1" s="358" t="s">
        <v>631</v>
      </c>
      <c r="B1" s="67"/>
      <c r="C1" s="111"/>
      <c r="D1" s="112"/>
      <c r="E1" s="67"/>
      <c r="F1" s="101"/>
      <c r="G1" s="593"/>
      <c r="H1" s="593"/>
      <c r="I1" s="593"/>
      <c r="J1" s="101"/>
      <c r="K1" s="3"/>
      <c r="L1" s="3"/>
      <c r="M1" s="245" t="s">
        <v>415</v>
      </c>
      <c r="N1" s="246"/>
      <c r="O1" s="246"/>
      <c r="P1" s="189"/>
      <c r="Q1" s="189"/>
      <c r="R1" s="189"/>
      <c r="S1" s="189"/>
      <c r="T1" s="189"/>
      <c r="U1" s="189"/>
      <c r="V1" s="189"/>
      <c r="W1" s="189"/>
      <c r="X1" s="245" t="s">
        <v>408</v>
      </c>
      <c r="Y1" s="246"/>
      <c r="Z1" s="246"/>
      <c r="AA1" s="189"/>
      <c r="AB1" s="247"/>
      <c r="AC1" s="247"/>
      <c r="AD1" s="247"/>
      <c r="AE1" s="247"/>
      <c r="AF1" s="247"/>
      <c r="AG1" s="247"/>
      <c r="AH1" s="189"/>
      <c r="AI1" s="245" t="s">
        <v>411</v>
      </c>
      <c r="AJ1" s="246"/>
      <c r="AK1" s="246"/>
      <c r="AL1" s="189"/>
      <c r="AM1" s="247"/>
      <c r="AN1" s="247"/>
      <c r="AO1" s="247"/>
      <c r="AP1" s="247"/>
      <c r="AQ1" s="247"/>
      <c r="AR1" s="247"/>
      <c r="AS1" s="247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245" t="s">
        <v>412</v>
      </c>
      <c r="BR1" s="246"/>
      <c r="BS1" s="246"/>
      <c r="BT1" s="189"/>
      <c r="BU1" s="247"/>
      <c r="BV1" s="247"/>
      <c r="BW1" s="247"/>
      <c r="BX1" s="247"/>
      <c r="BY1" s="247"/>
      <c r="BZ1" s="247"/>
      <c r="CA1" s="247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248"/>
      <c r="DB1" s="248"/>
      <c r="DC1" s="189"/>
      <c r="DD1" s="189"/>
      <c r="DE1" s="189"/>
      <c r="DF1" s="189"/>
      <c r="DG1" s="189"/>
      <c r="DH1" s="189"/>
    </row>
    <row r="2" spans="1:129" ht="26.25">
      <c r="A2" s="359" t="str">
        <f>+CONCATENATE("Reajuste al ",TEXT(Historico!O5,"dd/mmmm/yyyy"))</f>
        <v>Reajuste al 04/diciembre/2012</v>
      </c>
      <c r="B2" s="360"/>
      <c r="C2" s="361"/>
      <c r="D2" s="362"/>
      <c r="E2" s="360"/>
      <c r="F2" s="363"/>
      <c r="G2" s="593"/>
      <c r="H2" s="593"/>
      <c r="I2" s="593"/>
      <c r="J2" s="101"/>
      <c r="K2" s="3"/>
      <c r="L2" s="3"/>
      <c r="M2" s="245"/>
      <c r="N2" s="246"/>
      <c r="O2" s="246"/>
      <c r="P2" s="189"/>
      <c r="Q2" s="189"/>
      <c r="R2" s="189"/>
      <c r="S2" s="189"/>
      <c r="T2" s="189"/>
      <c r="U2" s="189"/>
      <c r="V2" s="189"/>
      <c r="W2" s="189"/>
      <c r="X2" s="245"/>
      <c r="Y2" s="246"/>
      <c r="Z2" s="246"/>
      <c r="AA2" s="189"/>
      <c r="AB2" s="247"/>
      <c r="AC2" s="247"/>
      <c r="AD2" s="247"/>
      <c r="AE2" s="247"/>
      <c r="AF2" s="247"/>
      <c r="AG2" s="247"/>
      <c r="AH2" s="189"/>
      <c r="AI2" s="245"/>
      <c r="AJ2" s="246"/>
      <c r="AK2" s="246"/>
      <c r="AL2" s="189"/>
      <c r="AM2" s="247"/>
      <c r="AN2" s="247"/>
      <c r="AO2" s="247"/>
      <c r="AP2" s="247"/>
      <c r="AQ2" s="247"/>
      <c r="AR2" s="247"/>
      <c r="AS2" s="247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245"/>
      <c r="BR2" s="246"/>
      <c r="BS2" s="246"/>
      <c r="BT2" s="189"/>
      <c r="BU2" s="247"/>
      <c r="BV2" s="247"/>
      <c r="BW2" s="247"/>
      <c r="BX2" s="247"/>
      <c r="BY2" s="247"/>
      <c r="BZ2" s="247"/>
      <c r="CA2" s="247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248"/>
      <c r="DB2" s="248"/>
      <c r="DC2" s="189"/>
      <c r="DD2" s="189"/>
      <c r="DE2" s="189"/>
      <c r="DF2" s="189"/>
      <c r="DG2" s="189"/>
      <c r="DH2" s="189"/>
    </row>
    <row r="3" spans="1:129" ht="26.25">
      <c r="A3" s="358"/>
      <c r="B3" s="67"/>
      <c r="C3" s="111"/>
      <c r="D3" s="112"/>
      <c r="E3" s="67"/>
      <c r="F3" s="101"/>
      <c r="G3" s="593"/>
      <c r="H3" s="593"/>
      <c r="I3" s="593"/>
      <c r="J3" s="101"/>
      <c r="K3" s="3"/>
      <c r="L3" s="3"/>
      <c r="M3" s="245"/>
      <c r="N3" s="246"/>
      <c r="O3" s="246"/>
      <c r="P3" s="189"/>
      <c r="Q3" s="189"/>
      <c r="R3" s="189"/>
      <c r="S3" s="189"/>
      <c r="T3" s="189"/>
      <c r="U3" s="189"/>
      <c r="V3" s="189"/>
      <c r="W3" s="189"/>
      <c r="X3" s="245"/>
      <c r="Y3" s="246"/>
      <c r="Z3" s="246"/>
      <c r="AA3" s="189"/>
      <c r="AB3" s="247"/>
      <c r="AC3" s="247"/>
      <c r="AD3" s="247"/>
      <c r="AE3" s="247"/>
      <c r="AF3" s="247"/>
      <c r="AG3" s="247"/>
      <c r="AH3" s="189"/>
      <c r="AI3" s="245"/>
      <c r="AJ3" s="246"/>
      <c r="AK3" s="246"/>
      <c r="AL3" s="189"/>
      <c r="AM3" s="247"/>
      <c r="AN3" s="247"/>
      <c r="AO3" s="247"/>
      <c r="AP3" s="247"/>
      <c r="AQ3" s="247"/>
      <c r="AR3" s="247"/>
      <c r="AS3" s="247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9"/>
      <c r="BG3" s="189"/>
      <c r="BH3" s="189"/>
      <c r="BI3" s="189"/>
      <c r="BJ3" s="189"/>
      <c r="BK3" s="189"/>
      <c r="BL3" s="189"/>
      <c r="BM3" s="189"/>
      <c r="BN3" s="189"/>
      <c r="BO3" s="189"/>
      <c r="BP3" s="189"/>
      <c r="BQ3" s="245"/>
      <c r="BR3" s="246"/>
      <c r="BS3" s="246"/>
      <c r="BT3" s="189"/>
      <c r="BU3" s="247"/>
      <c r="BV3" s="247"/>
      <c r="BW3" s="247"/>
      <c r="BX3" s="247"/>
      <c r="BY3" s="247"/>
      <c r="BZ3" s="247"/>
      <c r="CA3" s="247"/>
      <c r="CB3" s="189"/>
      <c r="CC3" s="189"/>
      <c r="CD3" s="189"/>
      <c r="CE3" s="189"/>
      <c r="CF3" s="189"/>
      <c r="CG3" s="189"/>
      <c r="CH3" s="189"/>
      <c r="CI3" s="189"/>
      <c r="CJ3" s="189"/>
      <c r="CK3" s="189"/>
      <c r="CL3" s="189"/>
      <c r="CM3" s="189"/>
      <c r="CN3" s="189"/>
      <c r="CO3" s="189"/>
      <c r="CP3" s="189"/>
      <c r="CQ3" s="189"/>
      <c r="CR3" s="189"/>
      <c r="CS3" s="189"/>
      <c r="CT3" s="189"/>
      <c r="CU3" s="189"/>
      <c r="CV3" s="189"/>
      <c r="CW3" s="189"/>
      <c r="CX3" s="189"/>
      <c r="CY3" s="189"/>
      <c r="CZ3" s="189"/>
      <c r="DA3" s="248"/>
      <c r="DB3" s="248"/>
      <c r="DC3" s="189"/>
      <c r="DD3" s="189"/>
      <c r="DE3" s="189"/>
      <c r="DF3" s="189"/>
      <c r="DG3" s="189"/>
      <c r="DH3" s="189"/>
    </row>
    <row r="4" spans="1:129">
      <c r="A4" s="1"/>
      <c r="B4" s="80" t="s">
        <v>336</v>
      </c>
      <c r="C4" s="80" t="s">
        <v>335</v>
      </c>
      <c r="D4" s="81"/>
      <c r="E4" s="75"/>
      <c r="F4" s="102" t="s">
        <v>338</v>
      </c>
      <c r="G4" s="593"/>
      <c r="H4" s="593"/>
      <c r="I4" s="593"/>
      <c r="J4" s="102"/>
      <c r="K4" s="3"/>
      <c r="L4" s="3"/>
      <c r="N4" s="250"/>
      <c r="O4" s="250"/>
      <c r="U4" s="250"/>
      <c r="W4" s="250"/>
      <c r="Y4" s="250"/>
      <c r="Z4" s="250"/>
      <c r="AF4" s="252"/>
      <c r="AH4" s="250"/>
      <c r="AJ4" s="250"/>
      <c r="AK4" s="250"/>
      <c r="AQ4" s="252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R4" s="250"/>
      <c r="BS4" s="250"/>
      <c r="BY4" s="252"/>
      <c r="CB4" s="250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0"/>
      <c r="CO4" s="250"/>
      <c r="CP4" s="250"/>
      <c r="CQ4" s="250"/>
      <c r="CR4" s="250"/>
      <c r="CS4" s="250"/>
      <c r="CT4" s="250"/>
      <c r="CU4" s="250"/>
      <c r="CV4" s="250"/>
      <c r="CW4" s="250"/>
      <c r="CZ4" s="250"/>
      <c r="DA4" s="250"/>
      <c r="DC4" s="189"/>
      <c r="DD4" s="189"/>
      <c r="DE4" s="189"/>
      <c r="DF4" s="189"/>
      <c r="DG4" s="189"/>
      <c r="DH4" s="189"/>
      <c r="DI4" s="250"/>
    </row>
    <row r="5" spans="1:129">
      <c r="A5" s="771" t="s">
        <v>9</v>
      </c>
      <c r="B5" s="594">
        <f>+Historico!N5</f>
        <v>41217</v>
      </c>
      <c r="C5" s="595">
        <f>+Historico!O5</f>
        <v>41247</v>
      </c>
      <c r="D5" s="27" t="s">
        <v>82</v>
      </c>
      <c r="F5" s="595">
        <f>+Historico!O5</f>
        <v>41247</v>
      </c>
      <c r="G5" s="593"/>
      <c r="H5" s="593"/>
      <c r="I5" s="593"/>
      <c r="J5" s="593"/>
      <c r="AB5" s="253"/>
      <c r="AI5" s="428" t="s">
        <v>424</v>
      </c>
      <c r="AM5" s="253"/>
      <c r="BQ5" s="428" t="s">
        <v>427</v>
      </c>
      <c r="BU5" s="253"/>
      <c r="CX5" s="427" t="s">
        <v>443</v>
      </c>
      <c r="CZ5" s="254"/>
      <c r="DA5" s="250"/>
      <c r="DB5" s="255"/>
      <c r="DC5" s="189"/>
      <c r="DD5" s="189"/>
      <c r="DE5" s="189"/>
      <c r="DF5" s="256"/>
      <c r="DG5" s="256"/>
      <c r="DH5" s="256"/>
      <c r="DI5" s="250"/>
      <c r="DK5" s="257"/>
      <c r="DL5" s="427"/>
    </row>
    <row r="6" spans="1:129">
      <c r="A6" s="774" t="str">
        <f>Historico!A6</f>
        <v>A. GENERACIÓN - TARIFAS EN BARRA (Res. N° 057-2012-OS/CD)</v>
      </c>
      <c r="B6" s="18" t="str">
        <f>+Historico!N6</f>
        <v/>
      </c>
      <c r="C6" s="11"/>
      <c r="D6" s="74"/>
      <c r="F6" s="11" t="str">
        <f>IF(IF(ResumenIndicadores!$F$7="Ft-1",B6,C6)=0,"",IF(ResumenIndicadores!$F$7="Ft-1",B6,C6))</f>
        <v/>
      </c>
      <c r="G6" s="66"/>
      <c r="H6" s="66"/>
      <c r="I6" s="66"/>
      <c r="J6" s="66"/>
      <c r="M6" s="428" t="s">
        <v>418</v>
      </c>
      <c r="Q6" s="258" t="s">
        <v>385</v>
      </c>
      <c r="R6" s="258" t="s">
        <v>386</v>
      </c>
      <c r="X6" s="428" t="s">
        <v>421</v>
      </c>
      <c r="AB6" s="259" t="s">
        <v>385</v>
      </c>
      <c r="AC6" s="259" t="s">
        <v>386</v>
      </c>
      <c r="AM6" s="259" t="s">
        <v>307</v>
      </c>
      <c r="AN6" s="259" t="s">
        <v>0</v>
      </c>
      <c r="BU6" s="259" t="s">
        <v>414</v>
      </c>
      <c r="BV6" s="259" t="s">
        <v>413</v>
      </c>
      <c r="CX6" s="249"/>
      <c r="CY6" s="260" t="s">
        <v>701</v>
      </c>
      <c r="CZ6" s="261" t="s">
        <v>0</v>
      </c>
      <c r="DA6" s="262" t="s">
        <v>11</v>
      </c>
      <c r="DB6" s="261" t="s">
        <v>50</v>
      </c>
      <c r="DC6" s="263" t="s">
        <v>51</v>
      </c>
      <c r="DD6" s="264"/>
      <c r="DE6" s="264"/>
      <c r="DF6" s="265"/>
      <c r="DG6" s="265"/>
      <c r="DH6" s="265"/>
      <c r="DI6" s="189"/>
      <c r="DY6" s="266"/>
    </row>
    <row r="7" spans="1:129">
      <c r="A7" s="775" t="str">
        <f>Historico!A7</f>
        <v>1. POTENCIA (FAPPM)</v>
      </c>
      <c r="B7" s="19" t="str">
        <f>+Historico!N7</f>
        <v/>
      </c>
      <c r="C7" s="21"/>
      <c r="D7" s="28"/>
      <c r="F7" s="21" t="str">
        <f>IF(IF(ResumenIndicadores!$F$7="Ft-1",B7,C7)=0,"",IF(ResumenIndicadores!$F$7="Ft-1",B7,C7))</f>
        <v/>
      </c>
      <c r="G7" s="66"/>
      <c r="H7" s="66"/>
      <c r="I7" s="66"/>
      <c r="J7" s="66"/>
      <c r="M7" s="267"/>
      <c r="N7" s="268"/>
      <c r="O7" s="268"/>
      <c r="P7" s="269"/>
      <c r="Q7" s="226" t="s">
        <v>2</v>
      </c>
      <c r="R7" s="226" t="s">
        <v>3</v>
      </c>
      <c r="S7" s="250"/>
      <c r="T7" s="250"/>
      <c r="U7" s="250"/>
      <c r="V7" s="250"/>
      <c r="X7" s="267"/>
      <c r="Y7" s="268"/>
      <c r="Z7" s="268"/>
      <c r="AA7" s="269"/>
      <c r="AB7" s="270" t="s">
        <v>2</v>
      </c>
      <c r="AC7" s="270" t="s">
        <v>3</v>
      </c>
      <c r="AD7" s="252"/>
      <c r="AE7" s="252"/>
      <c r="AF7" s="252"/>
      <c r="AG7" s="252"/>
      <c r="AI7" s="267"/>
      <c r="AJ7" s="268"/>
      <c r="AK7" s="268"/>
      <c r="AL7" s="269"/>
      <c r="AM7" s="270" t="s">
        <v>2</v>
      </c>
      <c r="AN7" s="270" t="s">
        <v>3</v>
      </c>
      <c r="AO7" s="252"/>
      <c r="AP7" s="252"/>
      <c r="AQ7" s="252"/>
      <c r="AR7" s="252"/>
      <c r="AS7" s="252"/>
      <c r="BQ7" s="267"/>
      <c r="BR7" s="268"/>
      <c r="BS7" s="268"/>
      <c r="BT7" s="269"/>
      <c r="BU7" s="270" t="s">
        <v>2</v>
      </c>
      <c r="BV7" s="270" t="s">
        <v>3</v>
      </c>
      <c r="BW7" s="252"/>
      <c r="BX7" s="252"/>
      <c r="BY7" s="252"/>
      <c r="BZ7" s="252"/>
      <c r="CA7" s="252"/>
      <c r="CX7" s="243" t="s">
        <v>1</v>
      </c>
      <c r="CY7" s="271" t="s">
        <v>174</v>
      </c>
      <c r="CZ7" s="637">
        <v>209.909211</v>
      </c>
      <c r="DA7" s="638">
        <v>2.6680000000000001</v>
      </c>
      <c r="DB7" s="639">
        <v>6.5282</v>
      </c>
      <c r="DC7" s="640">
        <v>125.89</v>
      </c>
      <c r="DD7" s="256"/>
      <c r="DY7" s="266"/>
    </row>
    <row r="8" spans="1:129">
      <c r="A8" s="776" t="str">
        <f>Historico!A8</f>
        <v>Sistema Eléctrico Interconectado Nacional (SEIN)</v>
      </c>
      <c r="B8" s="16">
        <f>+Historico!N8</f>
        <v>0.97719999999999996</v>
      </c>
      <c r="C8" s="22">
        <f>+ROUND(Q8*AB8+R8*AC8,4)</f>
        <v>0.97289999999999999</v>
      </c>
      <c r="D8" s="76">
        <f>+C8/B8-1</f>
        <v>-4.4003274662299807E-3</v>
      </c>
      <c r="F8" s="22">
        <f>IF(AND(DAY(F5)=1,MONTH(F5)=5),C8,IF(IF(ResumenIndicadores!$F$7="Ft-1",B8,C8)=0,"",IF(ResumenIndicadores!$F$7="Ft-1",B8,C8)))</f>
        <v>0.97719999999999996</v>
      </c>
      <c r="G8" s="103"/>
      <c r="H8" s="103"/>
      <c r="I8" s="103"/>
      <c r="J8" s="103"/>
      <c r="M8" s="272" t="s">
        <v>397</v>
      </c>
      <c r="N8" s="268"/>
      <c r="O8" s="268"/>
      <c r="P8" s="269"/>
      <c r="Q8" s="575">
        <v>0.76359999999999995</v>
      </c>
      <c r="R8" s="575">
        <v>0.2364</v>
      </c>
      <c r="S8" s="258" t="s">
        <v>48</v>
      </c>
      <c r="T8" s="258" t="s">
        <v>49</v>
      </c>
      <c r="U8" s="258" t="s">
        <v>46</v>
      </c>
      <c r="V8" s="258" t="s">
        <v>47</v>
      </c>
      <c r="X8" s="272" t="s">
        <v>397</v>
      </c>
      <c r="Y8" s="268"/>
      <c r="Z8" s="268"/>
      <c r="AA8" s="269"/>
      <c r="AB8" s="610">
        <f>AM8/BU8</f>
        <v>0.96664167916041976</v>
      </c>
      <c r="AC8" s="610">
        <f>AN8/BV8</f>
        <v>0.99311045478609317</v>
      </c>
      <c r="AD8" s="259" t="s">
        <v>409</v>
      </c>
      <c r="AE8" s="259" t="s">
        <v>410</v>
      </c>
      <c r="AF8" s="259" t="s">
        <v>46</v>
      </c>
      <c r="AG8" s="259" t="s">
        <v>47</v>
      </c>
      <c r="AI8" s="272" t="s">
        <v>397</v>
      </c>
      <c r="AJ8" s="268"/>
      <c r="AK8" s="268"/>
      <c r="AL8" s="269"/>
      <c r="AM8" s="610">
        <f>DA8</f>
        <v>2.5790000000000002</v>
      </c>
      <c r="AN8" s="610">
        <f>CZ8</f>
        <v>208.463032</v>
      </c>
      <c r="AO8" s="259" t="s">
        <v>409</v>
      </c>
      <c r="AP8" s="259" t="s">
        <v>410</v>
      </c>
      <c r="AQ8" s="259" t="s">
        <v>46</v>
      </c>
      <c r="AR8" s="259" t="s">
        <v>47</v>
      </c>
      <c r="AS8" s="252"/>
      <c r="BQ8" s="272" t="s">
        <v>397</v>
      </c>
      <c r="BR8" s="268"/>
      <c r="BS8" s="268"/>
      <c r="BT8" s="269"/>
      <c r="BU8" s="610">
        <f>DA7</f>
        <v>2.6680000000000001</v>
      </c>
      <c r="BV8" s="610">
        <f>CZ7</f>
        <v>209.909211</v>
      </c>
      <c r="BW8" s="259" t="s">
        <v>409</v>
      </c>
      <c r="BX8" s="259" t="s">
        <v>410</v>
      </c>
      <c r="BY8" s="259" t="s">
        <v>46</v>
      </c>
      <c r="BZ8" s="259" t="s">
        <v>47</v>
      </c>
      <c r="CA8" s="252"/>
      <c r="CX8" s="49" t="s">
        <v>4</v>
      </c>
      <c r="CY8" s="273" t="s">
        <v>702</v>
      </c>
      <c r="CZ8" s="274">
        <f>+'ALUMINIO-COBRE-TC-IPM'!H8</f>
        <v>208.463032</v>
      </c>
      <c r="DA8" s="275">
        <f>+'ALUMINIO-COBRE-TC-IPM'!G8</f>
        <v>2.5790000000000002</v>
      </c>
      <c r="DB8" s="275">
        <f>+COMBUSTIBLES!I14</f>
        <v>6.4260000000000002</v>
      </c>
      <c r="DC8" s="276">
        <f>+COMBUSTIBLES!E14</f>
        <v>106.15</v>
      </c>
      <c r="DD8" s="265"/>
    </row>
    <row r="9" spans="1:129">
      <c r="A9" s="775" t="str">
        <f>Historico!A9</f>
        <v>2. ENERGÍA (FAPEM)</v>
      </c>
      <c r="B9" s="20" t="str">
        <f>+Historico!N9</f>
        <v/>
      </c>
      <c r="C9" s="22"/>
      <c r="D9" s="76"/>
      <c r="F9" s="22" t="str">
        <f>IF(IF(ResumenIndicadores!$F$7="Ft-1",B9,C9)=0,"",IF(ResumenIndicadores!$F$7="Ft-1",B9,C9))</f>
        <v/>
      </c>
      <c r="G9" s="103"/>
      <c r="H9" s="103"/>
      <c r="I9" s="103"/>
      <c r="J9" s="103"/>
      <c r="M9" s="277"/>
      <c r="N9" s="278"/>
      <c r="O9" s="278"/>
      <c r="P9" s="279"/>
      <c r="Q9" s="226" t="s">
        <v>66</v>
      </c>
      <c r="R9" s="226" t="s">
        <v>70</v>
      </c>
      <c r="S9" s="226" t="s">
        <v>67</v>
      </c>
      <c r="T9" s="226" t="s">
        <v>68</v>
      </c>
      <c r="U9" s="226" t="s">
        <v>69</v>
      </c>
      <c r="V9" s="226" t="s">
        <v>71</v>
      </c>
      <c r="X9" s="277"/>
      <c r="Y9" s="278"/>
      <c r="Z9" s="278"/>
      <c r="AA9" s="279"/>
      <c r="AB9" s="270" t="s">
        <v>66</v>
      </c>
      <c r="AC9" s="270" t="s">
        <v>70</v>
      </c>
      <c r="AD9" s="270" t="s">
        <v>67</v>
      </c>
      <c r="AE9" s="270" t="s">
        <v>68</v>
      </c>
      <c r="AF9" s="270" t="s">
        <v>69</v>
      </c>
      <c r="AG9" s="270" t="s">
        <v>71</v>
      </c>
      <c r="AI9" s="277"/>
      <c r="AJ9" s="278"/>
      <c r="AK9" s="278"/>
      <c r="AL9" s="279"/>
      <c r="AM9" s="270" t="s">
        <v>66</v>
      </c>
      <c r="AN9" s="270" t="s">
        <v>70</v>
      </c>
      <c r="AO9" s="270" t="s">
        <v>67</v>
      </c>
      <c r="AP9" s="270" t="s">
        <v>68</v>
      </c>
      <c r="AQ9" s="270" t="s">
        <v>69</v>
      </c>
      <c r="AR9" s="270" t="s">
        <v>71</v>
      </c>
      <c r="AS9" s="252"/>
      <c r="BQ9" s="277"/>
      <c r="BR9" s="278"/>
      <c r="BS9" s="278"/>
      <c r="BT9" s="279"/>
      <c r="BU9" s="270" t="s">
        <v>66</v>
      </c>
      <c r="BV9" s="270" t="s">
        <v>70</v>
      </c>
      <c r="BW9" s="270" t="s">
        <v>67</v>
      </c>
      <c r="BX9" s="270" t="s">
        <v>68</v>
      </c>
      <c r="BY9" s="270" t="s">
        <v>69</v>
      </c>
      <c r="BZ9" s="270" t="s">
        <v>71</v>
      </c>
      <c r="CA9" s="252"/>
      <c r="CX9" s="280" t="s">
        <v>432</v>
      </c>
      <c r="DY9" s="266"/>
    </row>
    <row r="10" spans="1:129">
      <c r="A10" s="776" t="str">
        <f>Historico!A10</f>
        <v>Sistema Eléctrico Interconectado Nacional (SEIN)</v>
      </c>
      <c r="B10" s="16">
        <f>+Historico!N10</f>
        <v>0.98360000000000003</v>
      </c>
      <c r="C10" s="22">
        <f>ROUND(Q10*AB10+R10*AC10+S10*AD10+T10*AE10+U10*AF10+V10*AG10,4)</f>
        <v>0.9778</v>
      </c>
      <c r="D10" s="76">
        <f t="shared" ref="D10:D21" si="0">+C10/B10-1</f>
        <v>-5.8967059780399289E-3</v>
      </c>
      <c r="F10" s="22">
        <f>IF(AND(DAY(F5)=1,MONTH(F5)=5),C8,IF(IF(ResumenIndicadores!$F$7="Ft-1",B10,C10)=0,"",IF(ResumenIndicadores!$F$7="Ft-1",B10,C10)))</f>
        <v>0.98360000000000003</v>
      </c>
      <c r="G10" s="103"/>
      <c r="H10" s="103"/>
      <c r="I10" s="103"/>
      <c r="J10" s="103"/>
      <c r="M10" s="272" t="s">
        <v>398</v>
      </c>
      <c r="N10" s="268"/>
      <c r="O10" s="268"/>
      <c r="P10" s="269"/>
      <c r="Q10" s="575">
        <v>0.1183</v>
      </c>
      <c r="R10" s="575">
        <v>0</v>
      </c>
      <c r="S10" s="575">
        <v>0</v>
      </c>
      <c r="T10" s="575">
        <v>2.5600000000000001E-2</v>
      </c>
      <c r="U10" s="575">
        <v>0.85440000000000005</v>
      </c>
      <c r="V10" s="575">
        <v>1.6999999999999999E-3</v>
      </c>
      <c r="X10" s="272" t="s">
        <v>398</v>
      </c>
      <c r="Y10" s="268"/>
      <c r="Z10" s="268"/>
      <c r="AA10" s="269"/>
      <c r="AB10" s="610">
        <f t="shared" ref="AB10" si="1">AM10/BU10</f>
        <v>0.96664167916041976</v>
      </c>
      <c r="AC10" s="610">
        <v>0</v>
      </c>
      <c r="AD10" s="610">
        <v>0</v>
      </c>
      <c r="AE10" s="610">
        <f t="shared" ref="AE10" si="2">AP10/BX10</f>
        <v>0.82286432160804013</v>
      </c>
      <c r="AF10" s="610">
        <f t="shared" ref="AF10" si="3">AQ10/BY10</f>
        <v>0.98434484237615272</v>
      </c>
      <c r="AG10" s="610">
        <f t="shared" ref="AG10" si="4">AR10/BZ10</f>
        <v>0.8150688239167414</v>
      </c>
      <c r="AI10" s="272" t="s">
        <v>398</v>
      </c>
      <c r="AJ10" s="268"/>
      <c r="AK10" s="268"/>
      <c r="AL10" s="269"/>
      <c r="AM10" s="610">
        <f>DA8</f>
        <v>2.5790000000000002</v>
      </c>
      <c r="AN10" s="610">
        <v>0</v>
      </c>
      <c r="AO10" s="610">
        <v>0</v>
      </c>
      <c r="AP10" s="610">
        <f>(DE20+DG20)</f>
        <v>6.55</v>
      </c>
      <c r="AQ10" s="610">
        <f>DB8</f>
        <v>6.4260000000000002</v>
      </c>
      <c r="AR10" s="610">
        <f>(DC8*DA8)</f>
        <v>273.76085000000006</v>
      </c>
      <c r="AS10" s="252"/>
      <c r="BQ10" s="272" t="s">
        <v>398</v>
      </c>
      <c r="BR10" s="268"/>
      <c r="BS10" s="268"/>
      <c r="BT10" s="269"/>
      <c r="BU10" s="610">
        <f>DA7</f>
        <v>2.6680000000000001</v>
      </c>
      <c r="BV10" s="610">
        <v>0</v>
      </c>
      <c r="BW10" s="610">
        <v>0</v>
      </c>
      <c r="BX10" s="610">
        <f>(DA12+DC12)</f>
        <v>7.96</v>
      </c>
      <c r="BY10" s="610">
        <f>DB7</f>
        <v>6.5282</v>
      </c>
      <c r="BZ10" s="610">
        <f>(DC7*DA7)</f>
        <v>335.87452000000002</v>
      </c>
      <c r="CA10" s="252"/>
      <c r="CX10" s="281" t="s">
        <v>5</v>
      </c>
      <c r="CY10" s="281" t="s">
        <v>52</v>
      </c>
      <c r="CZ10" s="281" t="s">
        <v>61</v>
      </c>
      <c r="DA10" s="281" t="s">
        <v>53</v>
      </c>
      <c r="DB10" s="281" t="s">
        <v>417</v>
      </c>
      <c r="DC10" s="281" t="s">
        <v>54</v>
      </c>
    </row>
    <row r="11" spans="1:129">
      <c r="A11" s="777" t="str">
        <f>Historico!A11</f>
        <v>Sistemas Aislados</v>
      </c>
      <c r="B11" s="16"/>
      <c r="C11" s="22"/>
      <c r="D11" s="76"/>
      <c r="F11" s="22" t="str">
        <f>IF(IF(ResumenIndicadores!$F$7="Ft-1",B11,C11)=0,"",IF(ResumenIndicadores!$F$7="Ft-1",B11,C11))</f>
        <v/>
      </c>
      <c r="G11" s="103"/>
      <c r="H11" s="103"/>
      <c r="I11" s="103"/>
      <c r="J11" s="103"/>
      <c r="M11" s="286"/>
      <c r="N11" s="250"/>
      <c r="O11" s="250"/>
      <c r="P11" s="304"/>
      <c r="Q11" s="576"/>
      <c r="R11" s="576"/>
      <c r="S11" s="576"/>
      <c r="T11" s="576"/>
      <c r="U11" s="576"/>
      <c r="V11" s="576"/>
      <c r="X11" s="286"/>
      <c r="Y11" s="250"/>
      <c r="Z11" s="250"/>
      <c r="AA11" s="304"/>
      <c r="AB11" s="611"/>
      <c r="AC11" s="611"/>
      <c r="AD11" s="611"/>
      <c r="AE11" s="611"/>
      <c r="AF11" s="611"/>
      <c r="AG11" s="611"/>
      <c r="AI11" s="286"/>
      <c r="AJ11" s="250"/>
      <c r="AK11" s="250"/>
      <c r="AL11" s="304"/>
      <c r="AM11" s="611"/>
      <c r="AN11" s="611"/>
      <c r="AO11" s="611"/>
      <c r="AP11" s="611"/>
      <c r="AQ11" s="611"/>
      <c r="AR11" s="611"/>
      <c r="AS11" s="252"/>
      <c r="BQ11" s="286"/>
      <c r="BR11" s="250"/>
      <c r="BS11" s="250"/>
      <c r="BT11" s="304"/>
      <c r="BU11" s="611"/>
      <c r="BV11" s="611"/>
      <c r="BW11" s="611"/>
      <c r="BX11" s="611"/>
      <c r="BY11" s="611"/>
      <c r="BZ11" s="611"/>
      <c r="CA11" s="252"/>
      <c r="CX11" s="281"/>
      <c r="CY11" s="281"/>
      <c r="CZ11" s="281"/>
      <c r="DA11" s="281"/>
      <c r="DB11" s="281"/>
      <c r="DC11" s="281"/>
    </row>
    <row r="12" spans="1:129">
      <c r="A12" s="776" t="str">
        <f>Historico!A12</f>
        <v>Adinelsa</v>
      </c>
      <c r="B12" s="16">
        <f>+Historico!N12</f>
        <v>0.99150000000000005</v>
      </c>
      <c r="C12" s="22">
        <f t="shared" ref="C12:C22" si="5">ROUND(Q12*AB12+R12*AC12+S12*AD12+T12*AE12+U12*AF12+V12*AG12,4)</f>
        <v>0.9889</v>
      </c>
      <c r="D12" s="76">
        <f t="shared" si="0"/>
        <v>-2.6222894604135405E-3</v>
      </c>
      <c r="F12" s="22">
        <f>IF(AND(DAY(F5)=1,MONTH(F5)=5),C8,IF(IF(ResumenIndicadores!$F$8="Ft-1",B12,C12)=0,"",IF(ResumenIndicadores!$F$8="Ft-1",B12,C12)))</f>
        <v>0.99150000000000005</v>
      </c>
      <c r="G12" s="20"/>
      <c r="H12" s="103"/>
      <c r="I12" s="103"/>
      <c r="J12" s="103"/>
      <c r="M12" s="282" t="s">
        <v>31</v>
      </c>
      <c r="N12" s="283"/>
      <c r="O12" s="283"/>
      <c r="P12" s="572" t="s">
        <v>165</v>
      </c>
      <c r="Q12" s="576">
        <v>0.16059999999999999</v>
      </c>
      <c r="R12" s="576">
        <v>0.83940000000000003</v>
      </c>
      <c r="S12" s="576">
        <v>0</v>
      </c>
      <c r="T12" s="576">
        <v>0</v>
      </c>
      <c r="U12" s="576">
        <v>0</v>
      </c>
      <c r="V12" s="576">
        <v>0</v>
      </c>
      <c r="X12" s="282" t="s">
        <v>31</v>
      </c>
      <c r="Y12" s="283"/>
      <c r="Z12" s="283"/>
      <c r="AA12" s="572" t="s">
        <v>165</v>
      </c>
      <c r="AB12" s="611">
        <f t="shared" ref="AB12:AB22" si="6">AM12/BU12</f>
        <v>0.96664167916041976</v>
      </c>
      <c r="AC12" s="611">
        <f t="shared" ref="AC12:AC19" si="7">AN12/BV12</f>
        <v>0.99311045478609317</v>
      </c>
      <c r="AD12" s="611">
        <v>0</v>
      </c>
      <c r="AE12" s="611">
        <v>0</v>
      </c>
      <c r="AF12" s="611">
        <v>0</v>
      </c>
      <c r="AG12" s="611">
        <v>0</v>
      </c>
      <c r="AI12" s="282" t="s">
        <v>31</v>
      </c>
      <c r="AJ12" s="283"/>
      <c r="AK12" s="283"/>
      <c r="AL12" s="572" t="s">
        <v>165</v>
      </c>
      <c r="AM12" s="611">
        <f>DA8</f>
        <v>2.5790000000000002</v>
      </c>
      <c r="AN12" s="611">
        <f>CZ8</f>
        <v>208.463032</v>
      </c>
      <c r="AO12" s="611">
        <v>0</v>
      </c>
      <c r="AP12" s="611">
        <v>0</v>
      </c>
      <c r="AQ12" s="611">
        <v>0</v>
      </c>
      <c r="AR12" s="611">
        <v>0</v>
      </c>
      <c r="AS12" s="252"/>
      <c r="BQ12" s="282" t="s">
        <v>31</v>
      </c>
      <c r="BR12" s="283"/>
      <c r="BS12" s="283"/>
      <c r="BT12" s="572" t="s">
        <v>165</v>
      </c>
      <c r="BU12" s="611">
        <f>DA7</f>
        <v>2.6680000000000001</v>
      </c>
      <c r="BV12" s="611">
        <f>CZ7</f>
        <v>209.909211</v>
      </c>
      <c r="BW12" s="611">
        <v>0</v>
      </c>
      <c r="BX12" s="611">
        <v>0</v>
      </c>
      <c r="BY12" s="611">
        <v>0</v>
      </c>
      <c r="BZ12" s="611">
        <v>0</v>
      </c>
      <c r="CA12" s="252"/>
      <c r="CX12" s="284" t="s">
        <v>30</v>
      </c>
      <c r="CY12" s="284" t="s">
        <v>55</v>
      </c>
      <c r="CZ12" s="641">
        <v>9.3699999999999992</v>
      </c>
      <c r="DA12" s="641">
        <v>7.57</v>
      </c>
      <c r="DB12" s="642">
        <v>1.2</v>
      </c>
      <c r="DC12" s="642">
        <v>0.39</v>
      </c>
    </row>
    <row r="13" spans="1:129">
      <c r="A13" s="776" t="str">
        <f>Historico!A13</f>
        <v>Chavimochic</v>
      </c>
      <c r="B13" s="16">
        <f>+Historico!N13</f>
        <v>0.99150000000000005</v>
      </c>
      <c r="C13" s="22">
        <f t="shared" si="5"/>
        <v>0.9889</v>
      </c>
      <c r="D13" s="76">
        <f t="shared" si="0"/>
        <v>-2.6222894604135405E-3</v>
      </c>
      <c r="F13" s="22">
        <f>IF(AND(DAY(F5)=1,MONTH(F5)=5),C8,IF(IF(ResumenIndicadores!$F$8="Ft-1",B13,C13)=0,"",IF(ResumenIndicadores!$F$8="Ft-1",B13,C13)))</f>
        <v>0.99150000000000005</v>
      </c>
      <c r="G13" s="20"/>
      <c r="H13" s="103"/>
      <c r="I13" s="103"/>
      <c r="J13" s="103"/>
      <c r="M13" s="285" t="s">
        <v>32</v>
      </c>
      <c r="N13" s="250"/>
      <c r="O13" s="250"/>
      <c r="P13" s="571" t="s">
        <v>165</v>
      </c>
      <c r="Q13" s="576">
        <v>0.16059999999999999</v>
      </c>
      <c r="R13" s="576">
        <v>0.83940000000000003</v>
      </c>
      <c r="S13" s="576">
        <v>0</v>
      </c>
      <c r="T13" s="576">
        <v>0</v>
      </c>
      <c r="U13" s="576">
        <v>0</v>
      </c>
      <c r="V13" s="576">
        <v>0</v>
      </c>
      <c r="X13" s="285" t="s">
        <v>32</v>
      </c>
      <c r="Y13" s="250"/>
      <c r="Z13" s="250"/>
      <c r="AA13" s="571" t="s">
        <v>165</v>
      </c>
      <c r="AB13" s="611">
        <f t="shared" si="6"/>
        <v>0.96664167916041976</v>
      </c>
      <c r="AC13" s="611">
        <f t="shared" si="7"/>
        <v>0.99311045478609317</v>
      </c>
      <c r="AD13" s="611">
        <v>0</v>
      </c>
      <c r="AE13" s="611">
        <v>0</v>
      </c>
      <c r="AF13" s="611">
        <v>0</v>
      </c>
      <c r="AG13" s="611">
        <v>0</v>
      </c>
      <c r="AI13" s="285" t="s">
        <v>32</v>
      </c>
      <c r="AJ13" s="250"/>
      <c r="AK13" s="250"/>
      <c r="AL13" s="571" t="s">
        <v>165</v>
      </c>
      <c r="AM13" s="611">
        <f>DA8</f>
        <v>2.5790000000000002</v>
      </c>
      <c r="AN13" s="611">
        <f>CZ8</f>
        <v>208.463032</v>
      </c>
      <c r="AO13" s="611">
        <v>0</v>
      </c>
      <c r="AP13" s="611">
        <v>0</v>
      </c>
      <c r="AQ13" s="611">
        <v>0</v>
      </c>
      <c r="AR13" s="611">
        <v>0</v>
      </c>
      <c r="AS13" s="252"/>
      <c r="BQ13" s="285" t="s">
        <v>32</v>
      </c>
      <c r="BR13" s="250"/>
      <c r="BS13" s="250"/>
      <c r="BT13" s="571" t="s">
        <v>165</v>
      </c>
      <c r="BU13" s="611">
        <f>DA7</f>
        <v>2.6680000000000001</v>
      </c>
      <c r="BV13" s="611">
        <f>CZ7</f>
        <v>209.909211</v>
      </c>
      <c r="BW13" s="611">
        <v>0</v>
      </c>
      <c r="BX13" s="611">
        <v>0</v>
      </c>
      <c r="BY13" s="611">
        <v>0</v>
      </c>
      <c r="BZ13" s="611">
        <v>0</v>
      </c>
      <c r="CA13" s="252"/>
      <c r="CX13" s="664" t="s">
        <v>485</v>
      </c>
      <c r="CY13" s="284" t="s">
        <v>57</v>
      </c>
      <c r="CZ13" s="642">
        <v>9.0299999999999994</v>
      </c>
      <c r="DA13" s="642"/>
      <c r="DB13" s="642">
        <v>1.2</v>
      </c>
      <c r="DC13" s="642"/>
    </row>
    <row r="14" spans="1:129">
      <c r="A14" s="776" t="str">
        <f>Historico!A14</f>
        <v>Edelnor</v>
      </c>
      <c r="B14" s="16">
        <f>+Historico!N14</f>
        <v>0.99150000000000005</v>
      </c>
      <c r="C14" s="22">
        <f t="shared" si="5"/>
        <v>0.9889</v>
      </c>
      <c r="D14" s="76">
        <f t="shared" ref="D14:D15" si="8">+C14/B14-1</f>
        <v>-2.6222894604135405E-3</v>
      </c>
      <c r="F14" s="22">
        <f>IF(AND(DAY(F5)=1,MONTH(F5)=5),C8,IF(IF(ResumenIndicadores!$F$8="Ft-1",B14,C14)=0,"",IF(ResumenIndicadores!$F$8="Ft-1",B14,C14)))</f>
        <v>0.99150000000000005</v>
      </c>
      <c r="G14" s="20"/>
      <c r="H14" s="103"/>
      <c r="I14" s="103"/>
      <c r="J14" s="103"/>
      <c r="M14" s="285" t="s">
        <v>12</v>
      </c>
      <c r="N14" s="250"/>
      <c r="O14" s="250"/>
      <c r="P14" s="571" t="s">
        <v>165</v>
      </c>
      <c r="Q14" s="576">
        <v>0.16059999999999999</v>
      </c>
      <c r="R14" s="576">
        <v>0.83940000000000003</v>
      </c>
      <c r="S14" s="576">
        <v>0</v>
      </c>
      <c r="T14" s="576">
        <v>0</v>
      </c>
      <c r="U14" s="576">
        <v>0</v>
      </c>
      <c r="V14" s="576">
        <v>0</v>
      </c>
      <c r="X14" s="285" t="s">
        <v>12</v>
      </c>
      <c r="Y14" s="250"/>
      <c r="Z14" s="250"/>
      <c r="AA14" s="571" t="s">
        <v>165</v>
      </c>
      <c r="AB14" s="611">
        <f t="shared" si="6"/>
        <v>0.96664167916041976</v>
      </c>
      <c r="AC14" s="611">
        <f t="shared" si="7"/>
        <v>0.99311045478609317</v>
      </c>
      <c r="AD14" s="611">
        <v>0</v>
      </c>
      <c r="AE14" s="611">
        <v>0</v>
      </c>
      <c r="AF14" s="611">
        <v>0</v>
      </c>
      <c r="AG14" s="611">
        <v>0</v>
      </c>
      <c r="AI14" s="285" t="s">
        <v>12</v>
      </c>
      <c r="AJ14" s="250"/>
      <c r="AK14" s="250"/>
      <c r="AL14" s="571" t="s">
        <v>165</v>
      </c>
      <c r="AM14" s="611">
        <f>DA8</f>
        <v>2.5790000000000002</v>
      </c>
      <c r="AN14" s="611">
        <f>CZ8</f>
        <v>208.463032</v>
      </c>
      <c r="AO14" s="611">
        <v>0</v>
      </c>
      <c r="AP14" s="611">
        <v>0</v>
      </c>
      <c r="AQ14" s="611">
        <v>0</v>
      </c>
      <c r="AR14" s="611">
        <v>0</v>
      </c>
      <c r="AS14" s="252"/>
      <c r="BQ14" s="285" t="s">
        <v>12</v>
      </c>
      <c r="BR14" s="250"/>
      <c r="BS14" s="250"/>
      <c r="BT14" s="571" t="s">
        <v>165</v>
      </c>
      <c r="BU14" s="611">
        <f>DA7</f>
        <v>2.6680000000000001</v>
      </c>
      <c r="BV14" s="611">
        <f>CZ7</f>
        <v>209.909211</v>
      </c>
      <c r="BW14" s="611">
        <v>0</v>
      </c>
      <c r="BX14" s="611">
        <v>0</v>
      </c>
      <c r="BY14" s="611">
        <v>0</v>
      </c>
      <c r="BZ14" s="611">
        <v>0</v>
      </c>
      <c r="CA14" s="252"/>
      <c r="CX14" s="660" t="s">
        <v>486</v>
      </c>
      <c r="CY14" s="284" t="s">
        <v>56</v>
      </c>
      <c r="CZ14" s="642">
        <v>9.5299999999999994</v>
      </c>
      <c r="DA14" s="642">
        <v>7.8</v>
      </c>
      <c r="DB14" s="642">
        <v>0</v>
      </c>
      <c r="DC14" s="642">
        <v>0</v>
      </c>
    </row>
    <row r="15" spans="1:129">
      <c r="A15" s="778" t="str">
        <f>Historico!A15</f>
        <v>Eilhicha</v>
      </c>
      <c r="B15" s="16">
        <f>+Historico!N15</f>
        <v>0.99150000000000005</v>
      </c>
      <c r="C15" s="22">
        <f t="shared" si="5"/>
        <v>0.9889</v>
      </c>
      <c r="D15" s="76">
        <f t="shared" si="8"/>
        <v>-2.6222894604135405E-3</v>
      </c>
      <c r="F15" s="22">
        <f>IF(AND(DAY(F5)=1,MONTH(F5)=5),C8,IF(IF(ResumenIndicadores!$F$8="Ft-1",B15,C15)=0,"",IF(ResumenIndicadores!$F$8="Ft-1",B15,C15)))</f>
        <v>0.99150000000000005</v>
      </c>
      <c r="G15" s="20"/>
      <c r="H15" s="103"/>
      <c r="I15" s="103"/>
      <c r="J15" s="103"/>
      <c r="M15" s="286" t="s">
        <v>372</v>
      </c>
      <c r="N15" s="250"/>
      <c r="O15" s="250"/>
      <c r="P15" s="571" t="s">
        <v>165</v>
      </c>
      <c r="Q15" s="576">
        <f>Q12</f>
        <v>0.16059999999999999</v>
      </c>
      <c r="R15" s="576">
        <f>R12</f>
        <v>0.83940000000000003</v>
      </c>
      <c r="S15" s="576">
        <v>0</v>
      </c>
      <c r="T15" s="576">
        <v>0</v>
      </c>
      <c r="U15" s="576">
        <v>0</v>
      </c>
      <c r="V15" s="576">
        <v>0</v>
      </c>
      <c r="X15" s="286" t="s">
        <v>372</v>
      </c>
      <c r="Y15" s="250"/>
      <c r="Z15" s="250"/>
      <c r="AA15" s="571" t="s">
        <v>165</v>
      </c>
      <c r="AB15" s="611">
        <f t="shared" si="6"/>
        <v>0.96664167916041976</v>
      </c>
      <c r="AC15" s="611">
        <f t="shared" si="7"/>
        <v>0.99311045478609317</v>
      </c>
      <c r="AD15" s="611">
        <v>0</v>
      </c>
      <c r="AE15" s="611">
        <v>0</v>
      </c>
      <c r="AF15" s="611">
        <v>0</v>
      </c>
      <c r="AG15" s="611">
        <v>0</v>
      </c>
      <c r="AI15" s="286" t="s">
        <v>372</v>
      </c>
      <c r="AJ15" s="250"/>
      <c r="AK15" s="250"/>
      <c r="AL15" s="571" t="s">
        <v>165</v>
      </c>
      <c r="AM15" s="611">
        <f>DA8</f>
        <v>2.5790000000000002</v>
      </c>
      <c r="AN15" s="611">
        <f>CZ8</f>
        <v>208.463032</v>
      </c>
      <c r="AO15" s="611">
        <v>0</v>
      </c>
      <c r="AP15" s="611">
        <v>0</v>
      </c>
      <c r="AQ15" s="611">
        <v>0</v>
      </c>
      <c r="AR15" s="611">
        <v>0</v>
      </c>
      <c r="AS15" s="252"/>
      <c r="BQ15" s="286" t="s">
        <v>372</v>
      </c>
      <c r="BR15" s="250"/>
      <c r="BS15" s="250"/>
      <c r="BT15" s="571" t="s">
        <v>165</v>
      </c>
      <c r="BU15" s="611">
        <f>DA7</f>
        <v>2.6680000000000001</v>
      </c>
      <c r="BV15" s="611">
        <f>CZ7</f>
        <v>209.909211</v>
      </c>
      <c r="BW15" s="611">
        <v>0</v>
      </c>
      <c r="BX15" s="611">
        <v>0</v>
      </c>
      <c r="BY15" s="611">
        <v>0</v>
      </c>
      <c r="BZ15" s="611">
        <v>0</v>
      </c>
      <c r="CA15" s="252"/>
      <c r="CX15" s="661" t="s">
        <v>487</v>
      </c>
      <c r="CY15" s="284" t="s">
        <v>57</v>
      </c>
      <c r="CZ15" s="642">
        <v>9.0299999999999994</v>
      </c>
      <c r="DA15" s="642"/>
      <c r="DB15" s="642">
        <v>1.2</v>
      </c>
      <c r="DC15" s="642"/>
    </row>
    <row r="16" spans="1:129">
      <c r="A16" s="776" t="str">
        <f>Historico!A16</f>
        <v>Electro Oriente</v>
      </c>
      <c r="B16" s="16">
        <f>+Historico!N16</f>
        <v>0.97189999999999999</v>
      </c>
      <c r="C16" s="22">
        <f t="shared" si="5"/>
        <v>0.97130000000000005</v>
      </c>
      <c r="D16" s="76">
        <f t="shared" si="0"/>
        <v>-6.1734746373076632E-4</v>
      </c>
      <c r="F16" s="22">
        <f>IF(AND(DAY(F5)=1,MONTH(F5)=5),C8,IF(IF(ResumenIndicadores!$F$8="Ft-1",B16,C16)=0,"",IF(ResumenIndicadores!$F$8="Ft-1",B16,C16)))</f>
        <v>0.97189999999999999</v>
      </c>
      <c r="G16" s="20"/>
      <c r="H16" s="103"/>
      <c r="I16" s="103"/>
      <c r="J16" s="103"/>
      <c r="M16" s="285" t="s">
        <v>33</v>
      </c>
      <c r="N16" s="250"/>
      <c r="O16" s="250"/>
      <c r="P16" s="570" t="s">
        <v>64</v>
      </c>
      <c r="Q16" s="576">
        <v>9.0300000000000005E-2</v>
      </c>
      <c r="R16" s="576">
        <v>7.3599999999999999E-2</v>
      </c>
      <c r="S16" s="576">
        <v>5.2999999999999999E-2</v>
      </c>
      <c r="T16" s="576">
        <v>0.78310000000000002</v>
      </c>
      <c r="U16" s="576">
        <v>0</v>
      </c>
      <c r="V16" s="576">
        <v>0</v>
      </c>
      <c r="X16" s="285" t="s">
        <v>33</v>
      </c>
      <c r="Y16" s="250"/>
      <c r="Z16" s="250"/>
      <c r="AA16" s="570" t="s">
        <v>64</v>
      </c>
      <c r="AB16" s="611">
        <f t="shared" si="6"/>
        <v>0.96664167916041976</v>
      </c>
      <c r="AC16" s="611">
        <f>AN16/BV16</f>
        <v>0.99311045478609317</v>
      </c>
      <c r="AD16" s="611">
        <f>AO16/BW16</f>
        <v>1.0167890870933893</v>
      </c>
      <c r="AE16" s="611">
        <f>AP16/BX16</f>
        <v>0.96666666666666667</v>
      </c>
      <c r="AF16" s="611">
        <v>0</v>
      </c>
      <c r="AG16" s="611">
        <v>0</v>
      </c>
      <c r="AI16" s="285" t="s">
        <v>33</v>
      </c>
      <c r="AJ16" s="250"/>
      <c r="AK16" s="250"/>
      <c r="AL16" s="570" t="s">
        <v>64</v>
      </c>
      <c r="AM16" s="611">
        <f>DA8</f>
        <v>2.5790000000000002</v>
      </c>
      <c r="AN16" s="611">
        <f>CZ8</f>
        <v>208.463032</v>
      </c>
      <c r="AO16" s="611">
        <f>(DD22+DF22)</f>
        <v>9.69</v>
      </c>
      <c r="AP16" s="611">
        <f>(DE22+DG22)</f>
        <v>7.54</v>
      </c>
      <c r="AQ16" s="611">
        <v>0</v>
      </c>
      <c r="AR16" s="611">
        <v>0</v>
      </c>
      <c r="AS16" s="252"/>
      <c r="BQ16" s="285" t="s">
        <v>33</v>
      </c>
      <c r="BR16" s="250"/>
      <c r="BS16" s="250"/>
      <c r="BT16" s="570" t="s">
        <v>64</v>
      </c>
      <c r="BU16" s="611">
        <f>DA7</f>
        <v>2.6680000000000001</v>
      </c>
      <c r="BV16" s="611">
        <f>CZ7</f>
        <v>209.909211</v>
      </c>
      <c r="BW16" s="611">
        <f>(CZ14+DB14)</f>
        <v>9.5299999999999994</v>
      </c>
      <c r="BX16" s="611">
        <f>(DA14+DC14)</f>
        <v>7.8</v>
      </c>
      <c r="BY16" s="611">
        <v>0</v>
      </c>
      <c r="BZ16" s="611">
        <v>0</v>
      </c>
      <c r="CA16" s="252"/>
      <c r="CX16" s="665" t="s">
        <v>488</v>
      </c>
      <c r="CY16" s="284" t="s">
        <v>58</v>
      </c>
      <c r="CZ16" s="642">
        <v>9.4700000000000006</v>
      </c>
      <c r="DA16" s="642"/>
      <c r="DB16" s="642">
        <v>1.2</v>
      </c>
      <c r="DC16" s="642"/>
    </row>
    <row r="17" spans="1:129">
      <c r="A17" s="776" t="str">
        <f>Historico!A17</f>
        <v>Electro Sur Este</v>
      </c>
      <c r="B17" s="16">
        <f>+Historico!N17</f>
        <v>1.0185</v>
      </c>
      <c r="C17" s="22">
        <f t="shared" si="5"/>
        <v>1.0184</v>
      </c>
      <c r="D17" s="76">
        <f t="shared" si="0"/>
        <v>-9.8183603338242165E-5</v>
      </c>
      <c r="F17" s="22">
        <f>IF(AND(DAY(F5)=1,MONTH(F5)=5),C8,IF(IF(ResumenIndicadores!$F$8="Ft-1",B17,C17)=0,"",IF(ResumenIndicadores!$F$8="Ft-1",B17,C17)))</f>
        <v>1.0185</v>
      </c>
      <c r="G17" s="20"/>
      <c r="H17" s="103"/>
      <c r="I17" s="103"/>
      <c r="J17" s="103"/>
      <c r="M17" s="285" t="s">
        <v>34</v>
      </c>
      <c r="N17" s="250"/>
      <c r="O17" s="250"/>
      <c r="P17" s="573" t="s">
        <v>65</v>
      </c>
      <c r="Q17" s="576">
        <v>1.18E-2</v>
      </c>
      <c r="R17" s="576">
        <v>5.8999999999999997E-2</v>
      </c>
      <c r="S17" s="576">
        <v>0.92920000000000003</v>
      </c>
      <c r="T17" s="576">
        <v>0</v>
      </c>
      <c r="U17" s="576">
        <v>0</v>
      </c>
      <c r="V17" s="576">
        <v>0</v>
      </c>
      <c r="X17" s="285" t="s">
        <v>34</v>
      </c>
      <c r="Y17" s="250"/>
      <c r="Z17" s="250"/>
      <c r="AA17" s="573" t="s">
        <v>65</v>
      </c>
      <c r="AB17" s="611">
        <f t="shared" si="6"/>
        <v>0.96664167916041976</v>
      </c>
      <c r="AC17" s="611">
        <f>AN17/BV17</f>
        <v>0.99311045478609317</v>
      </c>
      <c r="AD17" s="611">
        <f>AO17/BW17</f>
        <v>1.0206185567010311</v>
      </c>
      <c r="AE17" s="611">
        <v>0</v>
      </c>
      <c r="AF17" s="611">
        <v>0</v>
      </c>
      <c r="AG17" s="611">
        <v>0</v>
      </c>
      <c r="AI17" s="285" t="s">
        <v>34</v>
      </c>
      <c r="AJ17" s="250"/>
      <c r="AK17" s="250"/>
      <c r="AL17" s="573" t="s">
        <v>65</v>
      </c>
      <c r="AM17" s="611">
        <f>DA8</f>
        <v>2.5790000000000002</v>
      </c>
      <c r="AN17" s="611">
        <f>CZ8</f>
        <v>208.463032</v>
      </c>
      <c r="AO17" s="611">
        <f>(DD24+DF24)</f>
        <v>10.89</v>
      </c>
      <c r="AP17" s="611">
        <v>0</v>
      </c>
      <c r="AQ17" s="611">
        <v>0</v>
      </c>
      <c r="AR17" s="611">
        <v>0</v>
      </c>
      <c r="AS17" s="252"/>
      <c r="BQ17" s="285" t="s">
        <v>34</v>
      </c>
      <c r="BR17" s="250"/>
      <c r="BS17" s="250"/>
      <c r="BT17" s="573" t="s">
        <v>65</v>
      </c>
      <c r="BU17" s="611">
        <f>DA7</f>
        <v>2.6680000000000001</v>
      </c>
      <c r="BV17" s="611">
        <f>CZ7</f>
        <v>209.909211</v>
      </c>
      <c r="BW17" s="611">
        <f>(CZ16+DB16)</f>
        <v>10.67</v>
      </c>
      <c r="BX17" s="611">
        <v>0</v>
      </c>
      <c r="BY17" s="611">
        <v>0</v>
      </c>
      <c r="BZ17" s="611">
        <v>0</v>
      </c>
      <c r="CA17" s="252"/>
      <c r="CX17" s="287"/>
      <c r="CY17" s="287"/>
      <c r="CZ17" s="288"/>
      <c r="DA17" s="277"/>
      <c r="DB17" s="288"/>
      <c r="DC17" s="288"/>
    </row>
    <row r="18" spans="1:129">
      <c r="A18" s="776" t="str">
        <f>Historico!A18</f>
        <v>Electro Ucayali</v>
      </c>
      <c r="B18" s="16">
        <f>+Historico!N18</f>
        <v>0.99150000000000005</v>
      </c>
      <c r="C18" s="22">
        <f t="shared" si="5"/>
        <v>0.9889</v>
      </c>
      <c r="D18" s="76">
        <f t="shared" si="0"/>
        <v>-2.6222894604135405E-3</v>
      </c>
      <c r="F18" s="22">
        <f>IF(AND(DAY(F5)=1,MONTH(F5)=5),C8,IF(IF(ResumenIndicadores!$F$8="Ft-1",B18,C18)=0,"",IF(ResumenIndicadores!$F$8="Ft-1",B18,C18)))</f>
        <v>0.99150000000000005</v>
      </c>
      <c r="G18" s="20"/>
      <c r="H18" s="103"/>
      <c r="I18" s="103"/>
      <c r="J18" s="103"/>
      <c r="M18" s="285" t="s">
        <v>35</v>
      </c>
      <c r="N18" s="250"/>
      <c r="O18" s="250"/>
      <c r="P18" s="571" t="s">
        <v>165</v>
      </c>
      <c r="Q18" s="576">
        <v>0.16059999999999999</v>
      </c>
      <c r="R18" s="576">
        <v>0.83940000000000003</v>
      </c>
      <c r="S18" s="576">
        <v>0</v>
      </c>
      <c r="T18" s="576">
        <v>0</v>
      </c>
      <c r="U18" s="576">
        <v>0</v>
      </c>
      <c r="V18" s="576">
        <v>0</v>
      </c>
      <c r="X18" s="285" t="s">
        <v>35</v>
      </c>
      <c r="Y18" s="250"/>
      <c r="Z18" s="250"/>
      <c r="AA18" s="571" t="s">
        <v>165</v>
      </c>
      <c r="AB18" s="611">
        <f t="shared" si="6"/>
        <v>0.96664167916041976</v>
      </c>
      <c r="AC18" s="611">
        <f t="shared" si="7"/>
        <v>0.99311045478609317</v>
      </c>
      <c r="AD18" s="611">
        <v>0</v>
      </c>
      <c r="AE18" s="611">
        <v>0</v>
      </c>
      <c r="AF18" s="611">
        <v>0</v>
      </c>
      <c r="AG18" s="611">
        <v>0</v>
      </c>
      <c r="AI18" s="285" t="s">
        <v>35</v>
      </c>
      <c r="AJ18" s="250"/>
      <c r="AK18" s="250"/>
      <c r="AL18" s="571" t="s">
        <v>165</v>
      </c>
      <c r="AM18" s="611">
        <f>DA8</f>
        <v>2.5790000000000002</v>
      </c>
      <c r="AN18" s="611">
        <f>CZ8</f>
        <v>208.463032</v>
      </c>
      <c r="AO18" s="611">
        <v>0</v>
      </c>
      <c r="AP18" s="611">
        <v>0</v>
      </c>
      <c r="AQ18" s="611">
        <v>0</v>
      </c>
      <c r="AR18" s="611">
        <v>0</v>
      </c>
      <c r="AS18" s="252"/>
      <c r="BQ18" s="285" t="s">
        <v>35</v>
      </c>
      <c r="BR18" s="250"/>
      <c r="BS18" s="250"/>
      <c r="BT18" s="571" t="s">
        <v>165</v>
      </c>
      <c r="BU18" s="611">
        <f>DA7</f>
        <v>2.6680000000000001</v>
      </c>
      <c r="BV18" s="611">
        <f>CZ7</f>
        <v>209.909211</v>
      </c>
      <c r="BW18" s="611">
        <v>0</v>
      </c>
      <c r="BX18" s="611">
        <v>0</v>
      </c>
      <c r="BY18" s="611">
        <v>0</v>
      </c>
      <c r="BZ18" s="611">
        <v>0</v>
      </c>
      <c r="CA18" s="252"/>
      <c r="CX18" s="280" t="s">
        <v>433</v>
      </c>
      <c r="CY18" s="289"/>
      <c r="CZ18" s="669" t="s">
        <v>84</v>
      </c>
      <c r="DA18" s="668"/>
      <c r="DB18" s="288" t="s">
        <v>83</v>
      </c>
      <c r="DC18" s="290"/>
      <c r="DD18" s="667" t="s">
        <v>59</v>
      </c>
      <c r="DE18" s="668"/>
      <c r="DF18" s="667" t="s">
        <v>60</v>
      </c>
      <c r="DG18" s="668"/>
    </row>
    <row r="19" spans="1:129">
      <c r="A19" s="776" t="str">
        <f>Historico!A19</f>
        <v>Electrocentro</v>
      </c>
      <c r="B19" s="16">
        <f>+Historico!N19</f>
        <v>0.99150000000000005</v>
      </c>
      <c r="C19" s="22">
        <f t="shared" si="5"/>
        <v>0.9889</v>
      </c>
      <c r="D19" s="76">
        <f t="shared" si="0"/>
        <v>-2.6222894604135405E-3</v>
      </c>
      <c r="F19" s="22">
        <f>IF(AND(DAY(F5)=1,MONTH(F5)=5),C8,IF(IF(ResumenIndicadores!$F$8="Ft-1",B19,C19)=0,"",IF(ResumenIndicadores!$F$8="Ft-1",B19,C19)))</f>
        <v>0.99150000000000005</v>
      </c>
      <c r="G19" s="20"/>
      <c r="H19" s="103"/>
      <c r="I19" s="103"/>
      <c r="J19" s="103"/>
      <c r="M19" s="285" t="s">
        <v>14</v>
      </c>
      <c r="N19" s="250"/>
      <c r="O19" s="250"/>
      <c r="P19" s="571" t="s">
        <v>165</v>
      </c>
      <c r="Q19" s="576">
        <v>0.16059999999999999</v>
      </c>
      <c r="R19" s="576">
        <v>0.83940000000000003</v>
      </c>
      <c r="S19" s="576">
        <v>0</v>
      </c>
      <c r="T19" s="576">
        <v>0</v>
      </c>
      <c r="U19" s="576">
        <v>0</v>
      </c>
      <c r="V19" s="576">
        <v>0</v>
      </c>
      <c r="X19" s="285" t="s">
        <v>14</v>
      </c>
      <c r="Y19" s="250"/>
      <c r="Z19" s="250"/>
      <c r="AA19" s="571" t="s">
        <v>165</v>
      </c>
      <c r="AB19" s="611">
        <f t="shared" si="6"/>
        <v>0.96664167916041976</v>
      </c>
      <c r="AC19" s="611">
        <f t="shared" si="7"/>
        <v>0.99311045478609317</v>
      </c>
      <c r="AD19" s="611">
        <v>0</v>
      </c>
      <c r="AE19" s="611">
        <v>0</v>
      </c>
      <c r="AF19" s="611">
        <v>0</v>
      </c>
      <c r="AG19" s="611">
        <v>0</v>
      </c>
      <c r="AI19" s="285" t="s">
        <v>14</v>
      </c>
      <c r="AJ19" s="250"/>
      <c r="AK19" s="250"/>
      <c r="AL19" s="571" t="s">
        <v>165</v>
      </c>
      <c r="AM19" s="611">
        <f>DA8</f>
        <v>2.5790000000000002</v>
      </c>
      <c r="AN19" s="611">
        <f>CZ8</f>
        <v>208.463032</v>
      </c>
      <c r="AO19" s="611">
        <v>0</v>
      </c>
      <c r="AP19" s="611">
        <v>0</v>
      </c>
      <c r="AQ19" s="611">
        <v>0</v>
      </c>
      <c r="AR19" s="611">
        <v>0</v>
      </c>
      <c r="AS19" s="252"/>
      <c r="BQ19" s="285" t="s">
        <v>14</v>
      </c>
      <c r="BR19" s="250"/>
      <c r="BS19" s="250"/>
      <c r="BT19" s="571" t="s">
        <v>165</v>
      </c>
      <c r="BU19" s="611">
        <f>DA7</f>
        <v>2.6680000000000001</v>
      </c>
      <c r="BV19" s="611">
        <f>CZ7</f>
        <v>209.909211</v>
      </c>
      <c r="BW19" s="611">
        <v>0</v>
      </c>
      <c r="BX19" s="611">
        <v>0</v>
      </c>
      <c r="BY19" s="611">
        <v>0</v>
      </c>
      <c r="BZ19" s="611">
        <v>0</v>
      </c>
      <c r="CA19" s="252"/>
      <c r="CX19" s="352" t="s">
        <v>5</v>
      </c>
      <c r="CY19" s="291" t="s">
        <v>52</v>
      </c>
      <c r="CZ19" s="281" t="s">
        <v>61</v>
      </c>
      <c r="DA19" s="281" t="s">
        <v>53</v>
      </c>
      <c r="DB19" s="281" t="s">
        <v>61</v>
      </c>
      <c r="DC19" s="281" t="s">
        <v>53</v>
      </c>
      <c r="DD19" s="281" t="s">
        <v>61</v>
      </c>
      <c r="DE19" s="281" t="s">
        <v>53</v>
      </c>
      <c r="DF19" s="292" t="s">
        <v>62</v>
      </c>
      <c r="DG19" s="281" t="s">
        <v>54</v>
      </c>
    </row>
    <row r="20" spans="1:129">
      <c r="A20" s="776" t="str">
        <f>Historico!A20</f>
        <v>Electronorte</v>
      </c>
      <c r="B20" s="16">
        <f>+Historico!N20</f>
        <v>0.99319999999999997</v>
      </c>
      <c r="C20" s="22">
        <f t="shared" si="5"/>
        <v>0.99070000000000003</v>
      </c>
      <c r="D20" s="76">
        <f t="shared" si="0"/>
        <v>-2.5171163914619044E-3</v>
      </c>
      <c r="F20" s="22">
        <f>IF(AND(DAY(F5)=1,MONTH(F5)=5),C8,IF(IF(ResumenIndicadores!$F$8="Ft-1",B20,C20)=0,"",IF(ResumenIndicadores!$F$8="Ft-1",B20,C20)))</f>
        <v>0.99319999999999997</v>
      </c>
      <c r="G20" s="20"/>
      <c r="H20" s="103"/>
      <c r="I20" s="103"/>
      <c r="J20" s="103"/>
      <c r="M20" s="285" t="s">
        <v>36</v>
      </c>
      <c r="N20" s="250"/>
      <c r="O20" s="250"/>
      <c r="P20" s="569" t="s">
        <v>63</v>
      </c>
      <c r="Q20" s="576">
        <v>0.1502</v>
      </c>
      <c r="R20" s="576">
        <v>0.78080000000000005</v>
      </c>
      <c r="S20" s="576">
        <v>6.9000000000000006E-2</v>
      </c>
      <c r="T20" s="576">
        <v>0</v>
      </c>
      <c r="U20" s="576">
        <v>0</v>
      </c>
      <c r="V20" s="576">
        <v>0</v>
      </c>
      <c r="X20" s="285" t="s">
        <v>36</v>
      </c>
      <c r="Y20" s="250"/>
      <c r="Z20" s="250"/>
      <c r="AA20" s="569" t="s">
        <v>63</v>
      </c>
      <c r="AB20" s="611">
        <f t="shared" si="6"/>
        <v>0.96664167916041976</v>
      </c>
      <c r="AC20" s="611">
        <f t="shared" ref="AC20:AD22" si="9">AN20/BV20</f>
        <v>0.99311045478609317</v>
      </c>
      <c r="AD20" s="611">
        <f t="shared" si="9"/>
        <v>1.0156402737047898</v>
      </c>
      <c r="AE20" s="611">
        <v>0</v>
      </c>
      <c r="AF20" s="611">
        <v>0</v>
      </c>
      <c r="AG20" s="611">
        <v>0</v>
      </c>
      <c r="AI20" s="285" t="s">
        <v>36</v>
      </c>
      <c r="AJ20" s="250"/>
      <c r="AK20" s="250"/>
      <c r="AL20" s="569" t="s">
        <v>63</v>
      </c>
      <c r="AM20" s="611">
        <f>DA8</f>
        <v>2.5790000000000002</v>
      </c>
      <c r="AN20" s="611">
        <f>CZ8</f>
        <v>208.463032</v>
      </c>
      <c r="AO20" s="611">
        <f>(DD21+DF21)</f>
        <v>10.389999999999999</v>
      </c>
      <c r="AP20" s="611">
        <v>0</v>
      </c>
      <c r="AQ20" s="611">
        <v>0</v>
      </c>
      <c r="AR20" s="611">
        <v>0</v>
      </c>
      <c r="AS20" s="252"/>
      <c r="BQ20" s="285" t="s">
        <v>36</v>
      </c>
      <c r="BR20" s="250"/>
      <c r="BS20" s="250"/>
      <c r="BT20" s="569" t="s">
        <v>63</v>
      </c>
      <c r="BU20" s="611">
        <f>DA7</f>
        <v>2.6680000000000001</v>
      </c>
      <c r="BV20" s="611">
        <f>CZ7</f>
        <v>209.909211</v>
      </c>
      <c r="BW20" s="611">
        <f>(CZ13+DB13)</f>
        <v>10.229999999999999</v>
      </c>
      <c r="BX20" s="611">
        <v>0</v>
      </c>
      <c r="BY20" s="611">
        <v>0</v>
      </c>
      <c r="BZ20" s="611">
        <v>0</v>
      </c>
      <c r="CA20" s="252"/>
      <c r="CX20" s="284" t="s">
        <v>30</v>
      </c>
      <c r="CY20" s="293" t="s">
        <v>55</v>
      </c>
      <c r="CZ20" s="294">
        <f>+COMBUSTIBLES!C6</f>
        <v>9.44</v>
      </c>
      <c r="DA20" s="294">
        <f>+COMBUSTIBLES!D6</f>
        <v>6.34</v>
      </c>
      <c r="DB20" s="294">
        <f>+COMBUSTIBLES!E6</f>
        <v>8.6199999999999992</v>
      </c>
      <c r="DC20" s="294">
        <f>+COMBUSTIBLES!F6</f>
        <v>6.16</v>
      </c>
      <c r="DD20" s="295">
        <f>+COMBUSTIBLES!G6</f>
        <v>8.6199999999999992</v>
      </c>
      <c r="DE20" s="295">
        <f>+COMBUSTIBLES!H6</f>
        <v>6.16</v>
      </c>
      <c r="DF20" s="296">
        <f>+COMBUSTIBLES!I6</f>
        <v>1.01</v>
      </c>
      <c r="DG20" s="297">
        <f>+COMBUSTIBLES!J6</f>
        <v>0.39</v>
      </c>
    </row>
    <row r="21" spans="1:129">
      <c r="A21" s="776" t="str">
        <f>Historico!A21</f>
        <v>Hidrandina</v>
      </c>
      <c r="B21" s="16">
        <f>+Historico!N21</f>
        <v>0.99280000000000002</v>
      </c>
      <c r="C21" s="22">
        <f t="shared" si="5"/>
        <v>0.99029999999999996</v>
      </c>
      <c r="D21" s="76">
        <f t="shared" si="0"/>
        <v>-2.5181305398872533E-3</v>
      </c>
      <c r="F21" s="22">
        <f>IF(AND(DAY(F5)=1,MONTH(F5)=5),C8,IF(IF(ResumenIndicadores!$F$8="Ft-1",B21,C21)=0,"",IF(ResumenIndicadores!$F$8="Ft-1",B21,C21)))</f>
        <v>0.99280000000000002</v>
      </c>
      <c r="G21" s="20"/>
      <c r="H21" s="103"/>
      <c r="I21" s="103"/>
      <c r="J21" s="103"/>
      <c r="M21" s="285" t="s">
        <v>37</v>
      </c>
      <c r="N21" s="250"/>
      <c r="O21" s="250"/>
      <c r="P21" s="571" t="s">
        <v>165</v>
      </c>
      <c r="Q21" s="576">
        <v>0.15229999999999999</v>
      </c>
      <c r="R21" s="576">
        <v>0.79269999999999996</v>
      </c>
      <c r="S21" s="576">
        <v>5.5E-2</v>
      </c>
      <c r="T21" s="576">
        <v>0</v>
      </c>
      <c r="U21" s="576">
        <v>0</v>
      </c>
      <c r="V21" s="576">
        <v>0</v>
      </c>
      <c r="X21" s="285" t="s">
        <v>37</v>
      </c>
      <c r="Y21" s="250"/>
      <c r="Z21" s="250"/>
      <c r="AA21" s="571" t="s">
        <v>165</v>
      </c>
      <c r="AB21" s="611">
        <f t="shared" si="6"/>
        <v>0.96664167916041976</v>
      </c>
      <c r="AC21" s="611">
        <f t="shared" si="9"/>
        <v>0.99311045478609317</v>
      </c>
      <c r="AD21" s="611">
        <f t="shared" si="9"/>
        <v>1.0156402737047898</v>
      </c>
      <c r="AE21" s="611">
        <v>0</v>
      </c>
      <c r="AF21" s="611">
        <v>0</v>
      </c>
      <c r="AG21" s="611">
        <v>0</v>
      </c>
      <c r="AI21" s="285" t="s">
        <v>37</v>
      </c>
      <c r="AJ21" s="250"/>
      <c r="AK21" s="250"/>
      <c r="AL21" s="571" t="s">
        <v>165</v>
      </c>
      <c r="AM21" s="611">
        <f>DA8</f>
        <v>2.5790000000000002</v>
      </c>
      <c r="AN21" s="611">
        <f>CZ8</f>
        <v>208.463032</v>
      </c>
      <c r="AO21" s="611">
        <f>(DD23+DF23)</f>
        <v>10.389999999999999</v>
      </c>
      <c r="AP21" s="611">
        <v>0</v>
      </c>
      <c r="AQ21" s="611">
        <v>0</v>
      </c>
      <c r="AR21" s="611">
        <v>0</v>
      </c>
      <c r="AS21" s="252"/>
      <c r="BQ21" s="285" t="s">
        <v>37</v>
      </c>
      <c r="BR21" s="250"/>
      <c r="BS21" s="250"/>
      <c r="BT21" s="571" t="s">
        <v>165</v>
      </c>
      <c r="BU21" s="611">
        <f>DA7</f>
        <v>2.6680000000000001</v>
      </c>
      <c r="BV21" s="611">
        <f>CZ7</f>
        <v>209.909211</v>
      </c>
      <c r="BW21" s="611">
        <f>(CZ15+DB15)</f>
        <v>10.229999999999999</v>
      </c>
      <c r="BX21" s="611">
        <v>0</v>
      </c>
      <c r="BY21" s="611">
        <v>0</v>
      </c>
      <c r="BZ21" s="611">
        <v>0</v>
      </c>
      <c r="CA21" s="252"/>
      <c r="CX21" s="659" t="s">
        <v>485</v>
      </c>
      <c r="CY21" s="278" t="s">
        <v>57</v>
      </c>
      <c r="CZ21" s="294">
        <f>+COMBUSTIBLES!C7</f>
        <v>9.19</v>
      </c>
      <c r="DA21" s="666"/>
      <c r="DB21" s="666"/>
      <c r="DC21" s="666"/>
      <c r="DD21" s="295">
        <f>+COMBUSTIBLES!G7</f>
        <v>9.19</v>
      </c>
      <c r="DE21" s="666"/>
      <c r="DF21" s="296">
        <f>+COMBUSTIBLES!I7</f>
        <v>1.2</v>
      </c>
      <c r="DG21" s="666"/>
    </row>
    <row r="22" spans="1:129">
      <c r="A22" s="776" t="str">
        <f>Historico!A22</f>
        <v>Seal</v>
      </c>
      <c r="B22" s="16">
        <f>+Historico!N22</f>
        <v>1.0044</v>
      </c>
      <c r="C22" s="22">
        <f t="shared" si="5"/>
        <v>1.0032000000000001</v>
      </c>
      <c r="D22" s="76">
        <f t="shared" ref="D22" si="10">+C22/B22-1</f>
        <v>-1.1947431302268274E-3</v>
      </c>
      <c r="F22" s="22">
        <f>IF(AND(DAY(F5)=1,MONTH(F5)=5),C8,IF(IF(ResumenIndicadores!$F$8="Ft-1",B22,C22)=0,"",IF(ResumenIndicadores!$F$8="Ft-1",B22,C22)))</f>
        <v>1.0044</v>
      </c>
      <c r="G22" s="20"/>
      <c r="H22" s="103"/>
      <c r="I22" s="103"/>
      <c r="J22" s="103"/>
      <c r="M22" s="298" t="s">
        <v>13</v>
      </c>
      <c r="N22" s="268"/>
      <c r="O22" s="268"/>
      <c r="P22" s="574" t="s">
        <v>165</v>
      </c>
      <c r="Q22" s="577">
        <v>7.9500000000000001E-2</v>
      </c>
      <c r="R22" s="577">
        <v>0.38090000000000002</v>
      </c>
      <c r="S22" s="577">
        <v>0.53959999999999997</v>
      </c>
      <c r="T22" s="577">
        <v>0</v>
      </c>
      <c r="U22" s="577">
        <v>0</v>
      </c>
      <c r="V22" s="577">
        <v>0</v>
      </c>
      <c r="X22" s="298" t="s">
        <v>13</v>
      </c>
      <c r="Y22" s="268"/>
      <c r="Z22" s="268"/>
      <c r="AA22" s="574" t="s">
        <v>165</v>
      </c>
      <c r="AB22" s="612">
        <f t="shared" si="6"/>
        <v>0.96664167916041976</v>
      </c>
      <c r="AC22" s="612">
        <f t="shared" si="9"/>
        <v>0.99311045478609317</v>
      </c>
      <c r="AD22" s="612">
        <f t="shared" si="9"/>
        <v>1.0156402737047898</v>
      </c>
      <c r="AE22" s="612">
        <v>0</v>
      </c>
      <c r="AF22" s="612">
        <v>0</v>
      </c>
      <c r="AG22" s="612">
        <v>0</v>
      </c>
      <c r="AI22" s="298" t="s">
        <v>13</v>
      </c>
      <c r="AJ22" s="268"/>
      <c r="AK22" s="268"/>
      <c r="AL22" s="574" t="s">
        <v>165</v>
      </c>
      <c r="AM22" s="612">
        <f>DA8</f>
        <v>2.5790000000000002</v>
      </c>
      <c r="AN22" s="612">
        <f>CZ8</f>
        <v>208.463032</v>
      </c>
      <c r="AO22" s="612">
        <f>(DD23+DF23)</f>
        <v>10.389999999999999</v>
      </c>
      <c r="AP22" s="612">
        <v>0</v>
      </c>
      <c r="AQ22" s="612">
        <v>0</v>
      </c>
      <c r="AR22" s="612">
        <v>0</v>
      </c>
      <c r="AS22" s="252"/>
      <c r="BQ22" s="298" t="s">
        <v>13</v>
      </c>
      <c r="BR22" s="268"/>
      <c r="BS22" s="268"/>
      <c r="BT22" s="574" t="s">
        <v>165</v>
      </c>
      <c r="BU22" s="612">
        <f>DA7</f>
        <v>2.6680000000000001</v>
      </c>
      <c r="BV22" s="612">
        <f>CZ7</f>
        <v>209.909211</v>
      </c>
      <c r="BW22" s="612">
        <f>(CZ15+DB15)</f>
        <v>10.229999999999999</v>
      </c>
      <c r="BX22" s="612">
        <v>0</v>
      </c>
      <c r="BY22" s="612">
        <v>0</v>
      </c>
      <c r="BZ22" s="612">
        <v>0</v>
      </c>
      <c r="CA22" s="252"/>
      <c r="CX22" s="660" t="s">
        <v>486</v>
      </c>
      <c r="CY22" s="278" t="s">
        <v>56</v>
      </c>
      <c r="CZ22" s="294">
        <f>+COMBUSTIBLES!C8</f>
        <v>9.69</v>
      </c>
      <c r="DA22" s="294">
        <f>+COMBUSTIBLES!D8</f>
        <v>7.54</v>
      </c>
      <c r="DB22" s="666"/>
      <c r="DC22" s="666"/>
      <c r="DD22" s="295">
        <f>+COMBUSTIBLES!G8</f>
        <v>9.69</v>
      </c>
      <c r="DE22" s="295">
        <f>+COMBUSTIBLES!H8</f>
        <v>7.54</v>
      </c>
      <c r="DF22" s="666"/>
      <c r="DG22" s="666"/>
    </row>
    <row r="23" spans="1:129">
      <c r="A23" s="779" t="str">
        <f>Historico!A23</f>
        <v>FA_PNG (Res. 234-2012-OS/CD)</v>
      </c>
      <c r="B23" s="16">
        <f>+Historico!N23</f>
        <v>1</v>
      </c>
      <c r="C23" s="22">
        <v>0.98160000000000003</v>
      </c>
      <c r="D23" s="76">
        <f t="shared" ref="D23:D24" si="11">+C23/B23-1</f>
        <v>-1.8399999999999972E-2</v>
      </c>
      <c r="F23" s="22">
        <f>IF(IF(ResumenIndicadores!$F$12="Ft-1",B23,C23)=0,"",IF(ResumenIndicadores!$F$12="Ft-1",B23,C23))</f>
        <v>0.98160000000000003</v>
      </c>
      <c r="G23" s="20"/>
      <c r="H23" s="103"/>
      <c r="I23" s="103"/>
      <c r="J23" s="103"/>
      <c r="K23" s="96"/>
      <c r="L23" s="96"/>
      <c r="M23" s="299"/>
      <c r="N23" s="118"/>
      <c r="O23" s="118"/>
      <c r="P23" s="118"/>
      <c r="Q23" s="118"/>
      <c r="R23" s="118"/>
      <c r="S23" s="118"/>
      <c r="V23" s="250"/>
      <c r="X23" s="299"/>
      <c r="Y23" s="118"/>
      <c r="Z23" s="118"/>
      <c r="AA23" s="118"/>
      <c r="AB23" s="300"/>
      <c r="AC23" s="300"/>
      <c r="AD23" s="300"/>
      <c r="AG23" s="252"/>
      <c r="AI23" s="299"/>
      <c r="AJ23" s="118"/>
      <c r="AK23" s="118"/>
      <c r="AL23" s="118"/>
      <c r="AM23" s="300"/>
      <c r="AN23" s="300"/>
      <c r="AO23" s="300"/>
      <c r="AR23" s="252"/>
      <c r="AS23" s="252"/>
      <c r="BQ23" s="299"/>
      <c r="BR23" s="118"/>
      <c r="BS23" s="118"/>
      <c r="BT23" s="118"/>
      <c r="BU23" s="300"/>
      <c r="BV23" s="300"/>
      <c r="BW23" s="300"/>
      <c r="BZ23" s="252"/>
      <c r="CA23" s="252"/>
      <c r="CX23" s="661" t="s">
        <v>487</v>
      </c>
      <c r="CY23" s="278" t="s">
        <v>57</v>
      </c>
      <c r="CZ23" s="294">
        <f>+COMBUSTIBLES!C9</f>
        <v>9.19</v>
      </c>
      <c r="DA23" s="666"/>
      <c r="DB23" s="666"/>
      <c r="DC23" s="666"/>
      <c r="DD23" s="295">
        <f>+COMBUSTIBLES!G9</f>
        <v>9.19</v>
      </c>
      <c r="DE23" s="666"/>
      <c r="DF23" s="296">
        <f>+COMBUSTIBLES!I9</f>
        <v>1.2</v>
      </c>
      <c r="DG23" s="666"/>
    </row>
    <row r="24" spans="1:129">
      <c r="A24" s="780" t="str">
        <f>Historico!A24</f>
        <v>FIGV (Resoluciones OSINERGMIN N° 182-2009-OS/CD)</v>
      </c>
      <c r="B24" s="97">
        <f>+Historico!N24</f>
        <v>1.18</v>
      </c>
      <c r="C24" s="98">
        <f>B24</f>
        <v>1.18</v>
      </c>
      <c r="D24" s="99">
        <f t="shared" si="11"/>
        <v>0</v>
      </c>
      <c r="E24" s="100"/>
      <c r="F24" s="98">
        <f>C24</f>
        <v>1.18</v>
      </c>
      <c r="G24" s="104"/>
      <c r="H24" s="104"/>
      <c r="I24" s="104"/>
      <c r="J24" s="104"/>
      <c r="U24" s="250"/>
      <c r="V24" s="250"/>
      <c r="AF24" s="252"/>
      <c r="AG24" s="252"/>
      <c r="AQ24" s="252"/>
      <c r="AR24" s="252"/>
      <c r="AS24" s="252"/>
      <c r="BY24" s="252"/>
      <c r="BZ24" s="252"/>
      <c r="CA24" s="252"/>
      <c r="CX24" s="662" t="s">
        <v>488</v>
      </c>
      <c r="CY24" s="278" t="s">
        <v>58</v>
      </c>
      <c r="CZ24" s="294">
        <f>+COMBUSTIBLES!C10</f>
        <v>9.8800000000000008</v>
      </c>
      <c r="DA24" s="666"/>
      <c r="DB24" s="666"/>
      <c r="DC24" s="666"/>
      <c r="DD24" s="295">
        <f>+COMBUSTIBLES!G10</f>
        <v>9.8800000000000008</v>
      </c>
      <c r="DE24" s="666"/>
      <c r="DF24" s="296">
        <f>+COMBUSTIBLES!I10</f>
        <v>1.01</v>
      </c>
      <c r="DG24" s="666"/>
    </row>
    <row r="25" spans="1:129">
      <c r="A25" s="780">
        <f>Historico!A25</f>
        <v>0</v>
      </c>
      <c r="B25" s="16"/>
      <c r="C25" s="22"/>
      <c r="D25" s="76"/>
      <c r="E25" s="4"/>
      <c r="F25" s="22" t="str">
        <f>IF(AND(DAY(F5)=1,MONTH(F5)=5),C8,IF(IF(ResumenIndicadores!$F$8="Ft-1",B25,C25)=0,"",IF(ResumenIndicadores!$F$8="Ft-1",B25,C25)))</f>
        <v/>
      </c>
      <c r="G25" s="103"/>
      <c r="H25" s="103"/>
      <c r="I25" s="103"/>
      <c r="J25" s="103"/>
      <c r="M25" s="428" t="s">
        <v>419</v>
      </c>
      <c r="Q25" s="258" t="s">
        <v>16</v>
      </c>
      <c r="R25" s="258" t="s">
        <v>15</v>
      </c>
      <c r="S25" s="258" t="s">
        <v>124</v>
      </c>
      <c r="T25" s="258" t="s">
        <v>125</v>
      </c>
      <c r="X25" s="428" t="s">
        <v>422</v>
      </c>
      <c r="AB25" s="259" t="s">
        <v>16</v>
      </c>
      <c r="AC25" s="259" t="s">
        <v>15</v>
      </c>
      <c r="AD25" s="259" t="s">
        <v>124</v>
      </c>
      <c r="AE25" s="259" t="s">
        <v>125</v>
      </c>
      <c r="AI25" s="428" t="s">
        <v>425</v>
      </c>
      <c r="AM25" s="259" t="s">
        <v>16</v>
      </c>
      <c r="AN25" s="259" t="s">
        <v>15</v>
      </c>
      <c r="AO25" s="259" t="s">
        <v>124</v>
      </c>
      <c r="AP25" s="259" t="s">
        <v>125</v>
      </c>
      <c r="BQ25" s="428" t="s">
        <v>428</v>
      </c>
      <c r="BU25" s="259" t="s">
        <v>16</v>
      </c>
      <c r="BV25" s="259" t="s">
        <v>15</v>
      </c>
      <c r="BW25" s="259" t="s">
        <v>124</v>
      </c>
      <c r="BX25" s="259" t="s">
        <v>125</v>
      </c>
      <c r="CX25" s="663" t="s">
        <v>431</v>
      </c>
      <c r="DY25" s="266"/>
    </row>
    <row r="26" spans="1:129">
      <c r="A26" s="774" t="str">
        <f>Historico!A26</f>
        <v>B1. TRANSMISIÓN PRINCIPAL - PEAJES (Res. N° 057-2012-OS/CD)</v>
      </c>
      <c r="B26" s="23" t="str">
        <f>+Historico!N26</f>
        <v/>
      </c>
      <c r="C26" s="24"/>
      <c r="D26" s="95"/>
      <c r="E26" s="4"/>
      <c r="F26" s="24" t="str">
        <f>IF(AND(DAY($F$5)=1,MONTH($F$5)=5),$C$8,IF(IF(ResumenIndicadores!$F$9="Ft-1",B26,C26)=0,"",IF(ResumenIndicadores!$F$9="Ft-1",B26,C26)))</f>
        <v/>
      </c>
      <c r="G26" s="105"/>
      <c r="H26" s="105"/>
      <c r="I26" s="105"/>
      <c r="J26" s="105"/>
      <c r="M26" s="250"/>
      <c r="Q26" s="36" t="s">
        <v>6</v>
      </c>
      <c r="R26" s="36" t="s">
        <v>7</v>
      </c>
      <c r="S26" s="36" t="s">
        <v>22</v>
      </c>
      <c r="T26" s="36" t="s">
        <v>23</v>
      </c>
      <c r="X26" s="250"/>
      <c r="AB26" s="113" t="s">
        <v>6</v>
      </c>
      <c r="AC26" s="113" t="s">
        <v>7</v>
      </c>
      <c r="AD26" s="113" t="s">
        <v>22</v>
      </c>
      <c r="AE26" s="113" t="s">
        <v>23</v>
      </c>
      <c r="AF26" s="113" t="s">
        <v>395</v>
      </c>
      <c r="AI26" s="250"/>
      <c r="AM26" s="113" t="s">
        <v>6</v>
      </c>
      <c r="AN26" s="113" t="s">
        <v>7</v>
      </c>
      <c r="AO26" s="113" t="s">
        <v>22</v>
      </c>
      <c r="AP26" s="113" t="s">
        <v>23</v>
      </c>
      <c r="BQ26" s="250"/>
      <c r="BU26" s="113" t="s">
        <v>6</v>
      </c>
      <c r="BV26" s="113" t="s">
        <v>7</v>
      </c>
      <c r="BW26" s="113" t="s">
        <v>22</v>
      </c>
      <c r="BX26" s="113" t="s">
        <v>23</v>
      </c>
      <c r="BY26" s="113" t="s">
        <v>395</v>
      </c>
      <c r="CX26" s="249"/>
      <c r="CY26" s="260" t="s">
        <v>701</v>
      </c>
      <c r="CZ26" s="261" t="s">
        <v>0</v>
      </c>
      <c r="DA26" s="261" t="s">
        <v>11</v>
      </c>
      <c r="DB26" s="281" t="s">
        <v>19</v>
      </c>
      <c r="DC26" s="281" t="s">
        <v>20</v>
      </c>
      <c r="DY26" s="266"/>
    </row>
    <row r="27" spans="1:129">
      <c r="A27" s="778" t="str">
        <f>Historico!A27</f>
        <v>SPT de REP</v>
      </c>
      <c r="B27" s="16">
        <f>+Historico!N27</f>
        <v>0.97150000000000003</v>
      </c>
      <c r="C27" s="13">
        <f t="shared" ref="C27:C30" si="12">ROUND(Q27*AB27+R27*AC27+S27*AD27+T27*AE27+AF27,4)</f>
        <v>0.96660000000000001</v>
      </c>
      <c r="D27" s="76">
        <f t="shared" ref="D27" si="13">+C27/B27-1</f>
        <v>-5.043746783324754E-3</v>
      </c>
      <c r="E27" s="4"/>
      <c r="F27" s="13">
        <f>IF(AND(DAY($F$5)=1,MONTH($F$5)=5),$C$8,IF(IF(ResumenIndicadores!$F$9="Ft-1",B27,C27)=0,0,IF(ResumenIndicadores!$F$9="Ft-1",B27,C27)))</f>
        <v>0.97150000000000003</v>
      </c>
      <c r="G27" s="105"/>
      <c r="H27" s="105"/>
      <c r="I27" s="105"/>
      <c r="J27" s="105"/>
      <c r="M27" s="583" t="s">
        <v>175</v>
      </c>
      <c r="N27" s="283"/>
      <c r="O27" s="283"/>
      <c r="P27" s="301"/>
      <c r="Q27" s="576">
        <v>1</v>
      </c>
      <c r="R27" s="576">
        <v>0</v>
      </c>
      <c r="S27" s="576">
        <v>0</v>
      </c>
      <c r="T27" s="576">
        <v>0</v>
      </c>
      <c r="X27" s="583" t="s">
        <v>175</v>
      </c>
      <c r="Y27" s="283"/>
      <c r="Z27" s="283"/>
      <c r="AA27" s="301"/>
      <c r="AB27" s="611">
        <f t="shared" ref="AB27:AB33" si="14">AM27/BU27</f>
        <v>0.96664167916041976</v>
      </c>
      <c r="AC27" s="611">
        <v>0</v>
      </c>
      <c r="AD27" s="611">
        <v>0</v>
      </c>
      <c r="AE27" s="611">
        <v>0</v>
      </c>
      <c r="AF27" s="611">
        <v>0</v>
      </c>
      <c r="AI27" s="583" t="s">
        <v>175</v>
      </c>
      <c r="AJ27" s="283"/>
      <c r="AK27" s="283"/>
      <c r="AL27" s="301"/>
      <c r="AM27" s="611">
        <f>DA28</f>
        <v>2.5790000000000002</v>
      </c>
      <c r="AN27" s="611">
        <v>0</v>
      </c>
      <c r="AO27" s="611">
        <v>0</v>
      </c>
      <c r="AP27" s="611">
        <v>0</v>
      </c>
      <c r="BQ27" s="583" t="s">
        <v>175</v>
      </c>
      <c r="BR27" s="283"/>
      <c r="BS27" s="283"/>
      <c r="BT27" s="301"/>
      <c r="BU27" s="611">
        <f>DA27</f>
        <v>2.6680000000000001</v>
      </c>
      <c r="BV27" s="611">
        <v>0</v>
      </c>
      <c r="BW27" s="611">
        <v>0</v>
      </c>
      <c r="BX27" s="611">
        <v>0</v>
      </c>
      <c r="BY27" s="611">
        <v>0</v>
      </c>
      <c r="CX27" s="302" t="s">
        <v>1</v>
      </c>
      <c r="CY27" s="271" t="s">
        <v>174</v>
      </c>
      <c r="CZ27" s="637">
        <v>209.909211</v>
      </c>
      <c r="DA27" s="637">
        <v>2.6680000000000001</v>
      </c>
      <c r="DB27" s="639">
        <v>271.35000000000002</v>
      </c>
      <c r="DC27" s="639">
        <v>1856.7619999999999</v>
      </c>
      <c r="DD27" s="303"/>
      <c r="DJ27" s="303"/>
    </row>
    <row r="28" spans="1:129">
      <c r="A28" s="776" t="str">
        <f>Historico!A28</f>
        <v>SPT de San Gabán</v>
      </c>
      <c r="B28" s="16">
        <f>+Historico!N28</f>
        <v>0.98319999999999996</v>
      </c>
      <c r="C28" s="13">
        <f t="shared" si="12"/>
        <v>0.97970000000000002</v>
      </c>
      <c r="D28" s="76">
        <f t="shared" ref="D28:D33" si="15">+C28/B28-1</f>
        <v>-3.5598047192839655E-3</v>
      </c>
      <c r="F28" s="13">
        <f>IF(AND(DAY($F$5)=1,MONTH($F$5)=5),$C$8,IF(IF(ResumenIndicadores!$F$9="Ft-1",B28,C28)=0,0,IF(ResumenIndicadores!$F$9="Ft-1",B28,C28)))</f>
        <v>0.98319999999999996</v>
      </c>
      <c r="G28" s="105"/>
      <c r="H28" s="105"/>
      <c r="I28" s="105"/>
      <c r="J28" s="105"/>
      <c r="K28" s="3"/>
      <c r="L28" s="3"/>
      <c r="M28" s="584" t="s">
        <v>178</v>
      </c>
      <c r="N28" s="250"/>
      <c r="O28" s="250"/>
      <c r="P28" s="304"/>
      <c r="Q28" s="576">
        <v>0.51590000000000003</v>
      </c>
      <c r="R28" s="576">
        <v>0.48349999999999999</v>
      </c>
      <c r="S28" s="576">
        <v>0</v>
      </c>
      <c r="T28" s="576">
        <v>5.9999999999999995E-4</v>
      </c>
      <c r="X28" s="584" t="s">
        <v>178</v>
      </c>
      <c r="Y28" s="250"/>
      <c r="Z28" s="250"/>
      <c r="AA28" s="304"/>
      <c r="AB28" s="611">
        <f t="shared" ref="AB28:AC30" si="16">AM28/BU28</f>
        <v>0.96664167916041976</v>
      </c>
      <c r="AC28" s="611">
        <f t="shared" si="16"/>
        <v>0.99311045478609317</v>
      </c>
      <c r="AD28" s="611">
        <v>0</v>
      </c>
      <c r="AE28" s="611">
        <f t="shared" ref="AE28:AE30" si="17">AP28/BX28</f>
        <v>1.321509735274246</v>
      </c>
      <c r="AF28" s="611">
        <v>0</v>
      </c>
      <c r="AI28" s="584" t="s">
        <v>178</v>
      </c>
      <c r="AJ28" s="250"/>
      <c r="AK28" s="250"/>
      <c r="AL28" s="304"/>
      <c r="AM28" s="611">
        <f>DA28</f>
        <v>2.5790000000000002</v>
      </c>
      <c r="AN28" s="611">
        <f>CZ28</f>
        <v>208.463032</v>
      </c>
      <c r="AO28" s="611">
        <v>0</v>
      </c>
      <c r="AP28" s="611">
        <f>DB28</f>
        <v>358.5916666666667</v>
      </c>
      <c r="BQ28" s="584" t="s">
        <v>178</v>
      </c>
      <c r="BR28" s="250"/>
      <c r="BS28" s="250"/>
      <c r="BT28" s="304"/>
      <c r="BU28" s="611">
        <f>DA27</f>
        <v>2.6680000000000001</v>
      </c>
      <c r="BV28" s="611">
        <f>CZ27</f>
        <v>209.909211</v>
      </c>
      <c r="BW28" s="611">
        <v>0</v>
      </c>
      <c r="BX28" s="611">
        <f>DB27</f>
        <v>271.35000000000002</v>
      </c>
      <c r="BY28" s="611">
        <v>0</v>
      </c>
      <c r="CX28" s="305" t="s">
        <v>4</v>
      </c>
      <c r="CY28" s="273" t="s">
        <v>702</v>
      </c>
      <c r="CZ28" s="274">
        <f>+'ALUMINIO-COBRE-TC-IPM'!H8</f>
        <v>208.463032</v>
      </c>
      <c r="DA28" s="275">
        <f>+'ALUMINIO-COBRE-TC-IPM'!G8</f>
        <v>2.5790000000000002</v>
      </c>
      <c r="DB28" s="306">
        <f>+'ALUMINIO-COBRE-TC-IPM'!F8</f>
        <v>358.5916666666667</v>
      </c>
      <c r="DC28" s="306">
        <f>+'ALUMINIO-COBRE-TC-IPM'!E8</f>
        <v>2025.2735769230769</v>
      </c>
      <c r="DJ28" s="307"/>
    </row>
    <row r="29" spans="1:129">
      <c r="A29" s="776" t="str">
        <f>Historico!A29</f>
        <v>SPT de Antamina</v>
      </c>
      <c r="B29" s="16">
        <f>+Historico!N29</f>
        <v>0.98399999999999999</v>
      </c>
      <c r="C29" s="13">
        <f t="shared" si="12"/>
        <v>0.98040000000000005</v>
      </c>
      <c r="D29" s="76">
        <f t="shared" si="15"/>
        <v>-3.6585365853657459E-3</v>
      </c>
      <c r="F29" s="13">
        <f>IF(AND(DAY($F$5)=1,MONTH($F$5)=5),$C$8,IF(IF(ResumenIndicadores!$F$9="Ft-1",B29,C29)=0,0,IF(ResumenIndicadores!$F$9="Ft-1",B29,C29)))</f>
        <v>0.98399999999999999</v>
      </c>
      <c r="G29" s="105"/>
      <c r="H29" s="105"/>
      <c r="I29" s="105"/>
      <c r="J29" s="105"/>
      <c r="K29" s="3"/>
      <c r="L29" s="3"/>
      <c r="M29" s="584" t="s">
        <v>177</v>
      </c>
      <c r="N29" s="250"/>
      <c r="O29" s="250"/>
      <c r="P29" s="304"/>
      <c r="Q29" s="576">
        <v>0.51349999999999996</v>
      </c>
      <c r="R29" s="576">
        <v>0.48380000000000001</v>
      </c>
      <c r="S29" s="576">
        <v>0</v>
      </c>
      <c r="T29" s="576">
        <v>2.7000000000000001E-3</v>
      </c>
      <c r="X29" s="584" t="s">
        <v>177</v>
      </c>
      <c r="Y29" s="250"/>
      <c r="Z29" s="250"/>
      <c r="AA29" s="304"/>
      <c r="AB29" s="611">
        <f t="shared" si="16"/>
        <v>0.96664167916041976</v>
      </c>
      <c r="AC29" s="611">
        <f t="shared" si="16"/>
        <v>0.99311045478609317</v>
      </c>
      <c r="AD29" s="611">
        <v>0</v>
      </c>
      <c r="AE29" s="611">
        <f t="shared" si="17"/>
        <v>1.321509735274246</v>
      </c>
      <c r="AF29" s="611">
        <v>0</v>
      </c>
      <c r="AI29" s="584" t="s">
        <v>177</v>
      </c>
      <c r="AJ29" s="250"/>
      <c r="AK29" s="250"/>
      <c r="AL29" s="304"/>
      <c r="AM29" s="611">
        <f>DA28</f>
        <v>2.5790000000000002</v>
      </c>
      <c r="AN29" s="611">
        <f>CZ28</f>
        <v>208.463032</v>
      </c>
      <c r="AO29" s="611">
        <v>0</v>
      </c>
      <c r="AP29" s="611">
        <f>DB28</f>
        <v>358.5916666666667</v>
      </c>
      <c r="BQ29" s="584" t="s">
        <v>177</v>
      </c>
      <c r="BR29" s="250"/>
      <c r="BS29" s="250"/>
      <c r="BT29" s="304"/>
      <c r="BU29" s="611">
        <f>DA27</f>
        <v>2.6680000000000001</v>
      </c>
      <c r="BV29" s="611">
        <f>CZ27</f>
        <v>209.909211</v>
      </c>
      <c r="BW29" s="611">
        <v>0</v>
      </c>
      <c r="BX29" s="611">
        <f>DB27</f>
        <v>271.35000000000002</v>
      </c>
      <c r="BY29" s="611">
        <v>0</v>
      </c>
      <c r="DJ29" s="308"/>
    </row>
    <row r="30" spans="1:129">
      <c r="A30" s="776" t="str">
        <f>Historico!A30</f>
        <v>SPT de Eteselva</v>
      </c>
      <c r="B30" s="16">
        <f>+Historico!N30</f>
        <v>1.0341</v>
      </c>
      <c r="C30" s="13">
        <f t="shared" si="12"/>
        <v>1.0289999999999999</v>
      </c>
      <c r="D30" s="76">
        <f t="shared" si="15"/>
        <v>-4.9318247751669597E-3</v>
      </c>
      <c r="E30" s="4"/>
      <c r="F30" s="13">
        <f>IF(AND(DAY($F$5)=1,MONTH($F$5)=5),$C$8,IF(IF(ResumenIndicadores!$F$9="Ft-1",B30,C30)=0,0,IF(ResumenIndicadores!$F$9="Ft-1",B30,C30)))</f>
        <v>1.0341</v>
      </c>
      <c r="G30" s="105"/>
      <c r="H30" s="105"/>
      <c r="I30" s="105"/>
      <c r="J30" s="105"/>
      <c r="K30" s="3"/>
      <c r="L30" s="3"/>
      <c r="M30" s="584" t="s">
        <v>176</v>
      </c>
      <c r="N30" s="250"/>
      <c r="O30" s="250"/>
      <c r="P30" s="304"/>
      <c r="Q30" s="576">
        <v>0.28000000000000003</v>
      </c>
      <c r="R30" s="576">
        <v>0.29470000000000002</v>
      </c>
      <c r="S30" s="576">
        <v>0.41749999999999998</v>
      </c>
      <c r="T30" s="576">
        <v>7.7999999999999996E-3</v>
      </c>
      <c r="X30" s="584" t="s">
        <v>176</v>
      </c>
      <c r="Y30" s="250"/>
      <c r="Z30" s="250"/>
      <c r="AA30" s="304"/>
      <c r="AB30" s="611">
        <f t="shared" si="16"/>
        <v>0.96664167916041976</v>
      </c>
      <c r="AC30" s="611">
        <f t="shared" si="16"/>
        <v>0.99311045478609317</v>
      </c>
      <c r="AD30" s="611">
        <f>AO30/BW30</f>
        <v>1.0907556148408235</v>
      </c>
      <c r="AE30" s="611">
        <f t="shared" si="17"/>
        <v>1.321509735274246</v>
      </c>
      <c r="AF30" s="611">
        <v>0</v>
      </c>
      <c r="AI30" s="584" t="s">
        <v>176</v>
      </c>
      <c r="AJ30" s="250"/>
      <c r="AK30" s="250"/>
      <c r="AL30" s="304"/>
      <c r="AM30" s="611">
        <f>DA28</f>
        <v>2.5790000000000002</v>
      </c>
      <c r="AN30" s="611">
        <f>CZ28</f>
        <v>208.463032</v>
      </c>
      <c r="AO30" s="611">
        <f>DC28</f>
        <v>2025.2735769230769</v>
      </c>
      <c r="AP30" s="611">
        <f>DB28</f>
        <v>358.5916666666667</v>
      </c>
      <c r="BQ30" s="584" t="s">
        <v>176</v>
      </c>
      <c r="BR30" s="250"/>
      <c r="BS30" s="250"/>
      <c r="BT30" s="304"/>
      <c r="BU30" s="611">
        <f>DA27</f>
        <v>2.6680000000000001</v>
      </c>
      <c r="BV30" s="611">
        <f>CZ27</f>
        <v>209.909211</v>
      </c>
      <c r="BW30" s="611">
        <f>DC27</f>
        <v>1856.7619999999999</v>
      </c>
      <c r="BX30" s="611">
        <f>DB27</f>
        <v>271.35000000000002</v>
      </c>
      <c r="BY30" s="611">
        <v>0</v>
      </c>
      <c r="CX30" s="309" t="s">
        <v>484</v>
      </c>
      <c r="CY30" s="249"/>
      <c r="DJ30" s="310"/>
    </row>
    <row r="31" spans="1:129">
      <c r="A31" s="776" t="str">
        <f>Historico!A31</f>
        <v>SPT de Redesur</v>
      </c>
      <c r="B31" s="16">
        <f>+Historico!N31</f>
        <v>0.97150000000000003</v>
      </c>
      <c r="C31" s="13">
        <f t="shared" ref="C31:C32" si="18">ROUND(Q31*AB31+R31*AC31+S31*AD31+T31*AE31+AF31,4)</f>
        <v>0.96660000000000001</v>
      </c>
      <c r="D31" s="76">
        <f t="shared" si="15"/>
        <v>-5.043746783324754E-3</v>
      </c>
      <c r="F31" s="13">
        <f>IF(AND(DAY($F$5)=1,MONTH($F$5)=5),$C$8,IF(IF(ResumenIndicadores!$F$9="Ft-1",B31,C31)=0,0,IF(ResumenIndicadores!$F$9="Ft-1",B31,C31)))</f>
        <v>0.97150000000000003</v>
      </c>
      <c r="G31" s="105"/>
      <c r="H31" s="105"/>
      <c r="I31" s="105"/>
      <c r="J31" s="105"/>
      <c r="K31" s="3"/>
      <c r="L31" s="3"/>
      <c r="M31" s="584" t="s">
        <v>179</v>
      </c>
      <c r="N31" s="250"/>
      <c r="O31" s="250"/>
      <c r="P31" s="304"/>
      <c r="Q31" s="576">
        <v>1</v>
      </c>
      <c r="R31" s="576">
        <v>0</v>
      </c>
      <c r="S31" s="576">
        <v>0</v>
      </c>
      <c r="T31" s="576">
        <v>0</v>
      </c>
      <c r="X31" s="584" t="s">
        <v>179</v>
      </c>
      <c r="Y31" s="250"/>
      <c r="Z31" s="250"/>
      <c r="AA31" s="304"/>
      <c r="AB31" s="611">
        <f t="shared" si="14"/>
        <v>0.96664167916041976</v>
      </c>
      <c r="AC31" s="611">
        <v>0</v>
      </c>
      <c r="AD31" s="611">
        <v>0</v>
      </c>
      <c r="AE31" s="611">
        <v>0</v>
      </c>
      <c r="AF31" s="611">
        <v>0</v>
      </c>
      <c r="AI31" s="584" t="s">
        <v>179</v>
      </c>
      <c r="AJ31" s="250"/>
      <c r="AK31" s="250"/>
      <c r="AL31" s="304"/>
      <c r="AM31" s="611">
        <f>DA28</f>
        <v>2.5790000000000002</v>
      </c>
      <c r="AN31" s="611">
        <v>0</v>
      </c>
      <c r="AO31" s="611">
        <v>0</v>
      </c>
      <c r="AP31" s="611">
        <v>0</v>
      </c>
      <c r="BQ31" s="584" t="s">
        <v>179</v>
      </c>
      <c r="BR31" s="250"/>
      <c r="BS31" s="250"/>
      <c r="BT31" s="304"/>
      <c r="BU31" s="611">
        <f>DA27</f>
        <v>2.6680000000000001</v>
      </c>
      <c r="BV31" s="611">
        <v>0</v>
      </c>
      <c r="BW31" s="611">
        <v>0</v>
      </c>
      <c r="BX31" s="611">
        <v>0</v>
      </c>
      <c r="BY31" s="611">
        <v>0</v>
      </c>
      <c r="CX31" s="309"/>
      <c r="CY31" s="260" t="s">
        <v>701</v>
      </c>
      <c r="CZ31" s="261" t="s">
        <v>0</v>
      </c>
      <c r="DA31" s="261" t="s">
        <v>11</v>
      </c>
      <c r="DJ31" s="310"/>
    </row>
    <row r="32" spans="1:129">
      <c r="A32" s="776" t="str">
        <f>Historico!A32</f>
        <v>SPT de Transmantaro</v>
      </c>
      <c r="B32" s="16">
        <f>+Historico!N32</f>
        <v>0.97150000000000003</v>
      </c>
      <c r="C32" s="13">
        <f t="shared" si="18"/>
        <v>0.96660000000000001</v>
      </c>
      <c r="D32" s="76">
        <f t="shared" si="15"/>
        <v>-5.043746783324754E-3</v>
      </c>
      <c r="F32" s="13">
        <f>IF(AND(DAY($F$5)=1,MONTH($F$5)=5),$C$8,IF(IF(ResumenIndicadores!$F$9="Ft-1",B32,C32)=0,0,IF(ResumenIndicadores!$F$9="Ft-1",B32,C32)))</f>
        <v>0.97150000000000003</v>
      </c>
      <c r="G32" s="105"/>
      <c r="H32" s="105"/>
      <c r="I32" s="105"/>
      <c r="J32" s="105"/>
      <c r="K32" s="3"/>
      <c r="L32" s="3"/>
      <c r="M32" s="311" t="s">
        <v>180</v>
      </c>
      <c r="N32" s="250"/>
      <c r="O32" s="250"/>
      <c r="P32" s="304"/>
      <c r="Q32" s="576">
        <v>1</v>
      </c>
      <c r="R32" s="576">
        <v>0</v>
      </c>
      <c r="S32" s="576">
        <v>0</v>
      </c>
      <c r="T32" s="576">
        <v>0</v>
      </c>
      <c r="X32" s="311" t="s">
        <v>180</v>
      </c>
      <c r="Y32" s="250"/>
      <c r="Z32" s="250"/>
      <c r="AA32" s="304"/>
      <c r="AB32" s="611">
        <f t="shared" si="14"/>
        <v>0.96664167916041976</v>
      </c>
      <c r="AC32" s="611">
        <v>0</v>
      </c>
      <c r="AD32" s="611">
        <v>0</v>
      </c>
      <c r="AE32" s="611">
        <v>0</v>
      </c>
      <c r="AF32" s="611">
        <v>0</v>
      </c>
      <c r="AI32" s="311" t="s">
        <v>180</v>
      </c>
      <c r="AJ32" s="250"/>
      <c r="AK32" s="250"/>
      <c r="AL32" s="304"/>
      <c r="AM32" s="611">
        <f>DA28</f>
        <v>2.5790000000000002</v>
      </c>
      <c r="AN32" s="611">
        <v>0</v>
      </c>
      <c r="AO32" s="611">
        <v>0</v>
      </c>
      <c r="AP32" s="611">
        <v>0</v>
      </c>
      <c r="BQ32" s="311" t="s">
        <v>180</v>
      </c>
      <c r="BR32" s="250"/>
      <c r="BS32" s="250"/>
      <c r="BT32" s="304"/>
      <c r="BU32" s="611">
        <f>DA27</f>
        <v>2.6680000000000001</v>
      </c>
      <c r="BV32" s="611">
        <v>0</v>
      </c>
      <c r="BW32" s="611">
        <v>0</v>
      </c>
      <c r="BX32" s="611">
        <v>0</v>
      </c>
      <c r="BY32" s="611">
        <v>0</v>
      </c>
      <c r="CX32" s="243" t="s">
        <v>1</v>
      </c>
      <c r="CY32" s="271" t="s">
        <v>174</v>
      </c>
      <c r="CZ32" s="637">
        <v>209.909211</v>
      </c>
      <c r="DA32" s="643">
        <v>2.6680000000000001</v>
      </c>
      <c r="DJ32" s="312"/>
    </row>
    <row r="33" spans="1:129">
      <c r="A33" s="778" t="str">
        <f>Historico!A33</f>
        <v>SPT de ISA</v>
      </c>
      <c r="B33" s="16">
        <f>+Historico!N33</f>
        <v>0.97150000000000003</v>
      </c>
      <c r="C33" s="13">
        <f t="shared" ref="C33:C59" si="19">ROUND(Q33*AB33+R33*AC33+S33*AD33+T33*AE33+AF33,4)</f>
        <v>0.96660000000000001</v>
      </c>
      <c r="D33" s="76">
        <f t="shared" si="15"/>
        <v>-5.043746783324754E-3</v>
      </c>
      <c r="E33" s="62"/>
      <c r="F33" s="13">
        <f>IF(AND(DAY($F$5)=1,MONTH($F$5)=5),$C$8,IF(IF(ResumenIndicadores!$F$9="Ft-1",B33,C33)=0,0,IF(ResumenIndicadores!$F$9="Ft-1",B33,C33)))</f>
        <v>0.97150000000000003</v>
      </c>
      <c r="G33" s="105"/>
      <c r="H33" s="105"/>
      <c r="I33" s="105"/>
      <c r="J33" s="105"/>
      <c r="K33" s="3"/>
      <c r="L33" s="3"/>
      <c r="M33" s="313" t="s">
        <v>181</v>
      </c>
      <c r="N33" s="268"/>
      <c r="O33" s="268"/>
      <c r="P33" s="269"/>
      <c r="Q33" s="577">
        <v>1</v>
      </c>
      <c r="R33" s="577">
        <v>0</v>
      </c>
      <c r="S33" s="577">
        <v>0</v>
      </c>
      <c r="T33" s="577">
        <v>0</v>
      </c>
      <c r="X33" s="313" t="s">
        <v>181</v>
      </c>
      <c r="Y33" s="268"/>
      <c r="Z33" s="268"/>
      <c r="AA33" s="269"/>
      <c r="AB33" s="612">
        <f t="shared" si="14"/>
        <v>0.96664167916041976</v>
      </c>
      <c r="AC33" s="612">
        <v>0</v>
      </c>
      <c r="AD33" s="612">
        <v>0</v>
      </c>
      <c r="AE33" s="612">
        <v>0</v>
      </c>
      <c r="AF33" s="612">
        <v>0</v>
      </c>
      <c r="AI33" s="313" t="s">
        <v>181</v>
      </c>
      <c r="AJ33" s="268"/>
      <c r="AK33" s="268"/>
      <c r="AL33" s="269"/>
      <c r="AM33" s="612">
        <f>DA28</f>
        <v>2.5790000000000002</v>
      </c>
      <c r="AN33" s="612">
        <v>0</v>
      </c>
      <c r="AO33" s="612">
        <v>0</v>
      </c>
      <c r="AP33" s="612">
        <v>0</v>
      </c>
      <c r="BQ33" s="313" t="s">
        <v>181</v>
      </c>
      <c r="BR33" s="268"/>
      <c r="BS33" s="268"/>
      <c r="BT33" s="269"/>
      <c r="BU33" s="612">
        <f>DA27</f>
        <v>2.6680000000000001</v>
      </c>
      <c r="BV33" s="612">
        <v>0</v>
      </c>
      <c r="BW33" s="612">
        <v>0</v>
      </c>
      <c r="BX33" s="612">
        <v>0</v>
      </c>
      <c r="BY33" s="612">
        <v>0</v>
      </c>
      <c r="CX33" s="49" t="s">
        <v>4</v>
      </c>
      <c r="CY33" s="273" t="s">
        <v>702</v>
      </c>
      <c r="CZ33" s="274">
        <f>+'ALUMINIO-COBRE-TC-IPM'!H8</f>
        <v>208.463032</v>
      </c>
      <c r="DA33" s="275">
        <f>+'ALUMINIO-COBRE-TC-IPM'!G8</f>
        <v>2.5790000000000002</v>
      </c>
    </row>
    <row r="34" spans="1:129">
      <c r="A34" s="778" t="str">
        <f>Historico!A34</f>
        <v/>
      </c>
      <c r="B34" s="16"/>
      <c r="C34" s="13"/>
      <c r="D34" s="76"/>
      <c r="E34" s="62"/>
      <c r="F34" s="13" t="str">
        <f>IF(AND(DAY($F$5)=1,MONTH($F$5)=5),$C$8,IF(IF(ResumenIndicadores!$F$9="Ft-1",B34,C34)=0,"",IF(ResumenIndicadores!$F$9="Ft-1",B34,C34)))</f>
        <v/>
      </c>
      <c r="G34" s="105"/>
      <c r="H34" s="105"/>
      <c r="I34" s="105"/>
      <c r="J34" s="105"/>
      <c r="K34" s="3"/>
      <c r="L34" s="3"/>
      <c r="M34" s="250"/>
      <c r="N34" s="250"/>
      <c r="O34" s="250"/>
      <c r="P34" s="250"/>
      <c r="Q34" s="258" t="s">
        <v>385</v>
      </c>
      <c r="R34" s="258" t="s">
        <v>386</v>
      </c>
      <c r="X34" s="250"/>
      <c r="Y34" s="250"/>
      <c r="Z34" s="250"/>
      <c r="AA34" s="250"/>
      <c r="AB34" s="258" t="s">
        <v>385</v>
      </c>
      <c r="AC34" s="258" t="s">
        <v>386</v>
      </c>
      <c r="AD34" s="249"/>
      <c r="AE34" s="249"/>
      <c r="AI34" s="250"/>
      <c r="AJ34" s="250"/>
      <c r="AK34" s="250"/>
      <c r="AL34" s="250"/>
      <c r="AM34" s="258" t="s">
        <v>385</v>
      </c>
      <c r="AN34" s="258" t="s">
        <v>386</v>
      </c>
      <c r="AO34" s="249"/>
      <c r="AP34" s="249"/>
      <c r="BQ34" s="250"/>
      <c r="BR34" s="250"/>
      <c r="BS34" s="250"/>
      <c r="BT34" s="250"/>
      <c r="BU34" s="258" t="s">
        <v>385</v>
      </c>
      <c r="BV34" s="258" t="s">
        <v>386</v>
      </c>
      <c r="BW34" s="249"/>
      <c r="BX34" s="249"/>
      <c r="CX34" s="249"/>
      <c r="CY34" s="249"/>
      <c r="DY34" s="266"/>
    </row>
    <row r="35" spans="1:129">
      <c r="A35" s="781" t="str">
        <f>Historico!A35</f>
        <v>Cargo Unitario por Compensación por Seguridad de Suministro (CUCSS)</v>
      </c>
      <c r="B35" s="16"/>
      <c r="C35" s="13"/>
      <c r="D35" s="76"/>
      <c r="E35" s="62"/>
      <c r="F35" s="13" t="str">
        <f>IF(AND(DAY($F$5)=1,MONTH($F$5)=5),$C$8,IF(IF(ResumenIndicadores!$F$9="Ft-1",B35,C35)=0,"",IF(ResumenIndicadores!$F$9="Ft-1",B35,C35)))</f>
        <v/>
      </c>
      <c r="G35" s="105"/>
      <c r="H35" s="105"/>
      <c r="I35" s="105"/>
      <c r="J35" s="105"/>
      <c r="K35" s="3"/>
      <c r="L35" s="3"/>
      <c r="M35" s="250"/>
      <c r="N35" s="250"/>
      <c r="O35" s="250"/>
      <c r="P35" s="250"/>
      <c r="Q35" s="226" t="s">
        <v>2</v>
      </c>
      <c r="R35" s="226" t="s">
        <v>3</v>
      </c>
      <c r="X35" s="250"/>
      <c r="Y35" s="250"/>
      <c r="Z35" s="250"/>
      <c r="AA35" s="250"/>
      <c r="AB35" s="226" t="s">
        <v>2</v>
      </c>
      <c r="AC35" s="226" t="s">
        <v>3</v>
      </c>
      <c r="AD35" s="249"/>
      <c r="AE35" s="249"/>
      <c r="AI35" s="250"/>
      <c r="AJ35" s="250"/>
      <c r="AK35" s="250"/>
      <c r="AL35" s="250"/>
      <c r="AM35" s="226" t="s">
        <v>2</v>
      </c>
      <c r="AN35" s="226" t="s">
        <v>3</v>
      </c>
      <c r="AO35" s="249"/>
      <c r="AP35" s="249"/>
      <c r="BQ35" s="250"/>
      <c r="BR35" s="250"/>
      <c r="BS35" s="250"/>
      <c r="BT35" s="250"/>
      <c r="BU35" s="226" t="s">
        <v>2</v>
      </c>
      <c r="BV35" s="226" t="s">
        <v>3</v>
      </c>
      <c r="BW35" s="249"/>
      <c r="BX35" s="249"/>
      <c r="CX35" s="309" t="s">
        <v>481</v>
      </c>
      <c r="CY35" s="269"/>
      <c r="CZ35" s="291" t="s">
        <v>482</v>
      </c>
      <c r="DA35" s="226" t="s">
        <v>489</v>
      </c>
      <c r="DY35" s="266"/>
    </row>
    <row r="36" spans="1:129">
      <c r="A36" s="778" t="str">
        <f>Historico!A36</f>
        <v>Cargo Unitario por Compensación por Seguridad de Suministro</v>
      </c>
      <c r="B36" s="16">
        <f>+Historico!N36</f>
        <v>0.97720000000000007</v>
      </c>
      <c r="C36" s="13">
        <f>ROUND((Q36*AB36+R36*AC36)*CZ36/DA36,4)</f>
        <v>0.97289999999999999</v>
      </c>
      <c r="D36" s="76">
        <f t="shared" ref="D36:D39" si="20">+C36/B36-1</f>
        <v>-4.4003274662300917E-3</v>
      </c>
      <c r="E36" s="62"/>
      <c r="F36" s="13">
        <f>IF(AND(DAY($F$5)=1,MONTH($F$5)=5),$C$8,IF(IF(ResumenIndicadores!$F$9="Ft-1",B36,C36)=0,0,IF(ResumenIndicadores!$F$9="Ft-1",B36,C36)))</f>
        <v>0.97720000000000007</v>
      </c>
      <c r="G36" s="105"/>
      <c r="H36" s="105"/>
      <c r="I36" s="105"/>
      <c r="J36" s="105"/>
      <c r="K36" s="3"/>
      <c r="L36" s="3"/>
      <c r="M36" s="596" t="s">
        <v>466</v>
      </c>
      <c r="N36" s="278"/>
      <c r="O36" s="278"/>
      <c r="P36" s="279"/>
      <c r="Q36" s="575">
        <v>0.76359999999999995</v>
      </c>
      <c r="R36" s="575">
        <v>0.2364</v>
      </c>
      <c r="S36" s="311"/>
      <c r="T36" s="250"/>
      <c r="X36" s="596" t="s">
        <v>466</v>
      </c>
      <c r="Y36" s="278"/>
      <c r="Z36" s="278"/>
      <c r="AA36" s="279"/>
      <c r="AB36" s="610">
        <f>AM36/BU36</f>
        <v>0.96664167916041976</v>
      </c>
      <c r="AC36" s="610">
        <f>AN36/BV36</f>
        <v>0.99311045478609317</v>
      </c>
      <c r="AD36" s="311"/>
      <c r="AE36" s="250"/>
      <c r="AI36" s="596" t="s">
        <v>466</v>
      </c>
      <c r="AJ36" s="278"/>
      <c r="AK36" s="278"/>
      <c r="AL36" s="279"/>
      <c r="AM36" s="610">
        <f>DA33</f>
        <v>2.5790000000000002</v>
      </c>
      <c r="AN36" s="610">
        <f>CZ33</f>
        <v>208.463032</v>
      </c>
      <c r="AO36" s="311"/>
      <c r="AP36" s="250"/>
      <c r="BQ36" s="596" t="s">
        <v>466</v>
      </c>
      <c r="BR36" s="278"/>
      <c r="BS36" s="278"/>
      <c r="BT36" s="279"/>
      <c r="BU36" s="610">
        <f>DA32</f>
        <v>2.6680000000000001</v>
      </c>
      <c r="BV36" s="610">
        <f>CZ32</f>
        <v>209.909211</v>
      </c>
      <c r="BW36" s="311"/>
      <c r="BX36" s="250"/>
      <c r="CX36" s="658" t="s">
        <v>483</v>
      </c>
      <c r="CY36" s="279"/>
      <c r="CZ36" s="644">
        <v>550.20399999999995</v>
      </c>
      <c r="DA36" s="644">
        <v>550.20399999999995</v>
      </c>
      <c r="DD36" s="250"/>
      <c r="DJ36" s="250"/>
    </row>
    <row r="37" spans="1:129">
      <c r="A37" s="778" t="str">
        <f>Historico!A37</f>
        <v/>
      </c>
      <c r="B37" s="16"/>
      <c r="C37" s="13"/>
      <c r="D37" s="76"/>
      <c r="E37" s="62"/>
      <c r="F37" s="13" t="str">
        <f>IF(AND(DAY($F$5)=1,MONTH($F$5)=5),$C$8,IF(IF(ResumenIndicadores!$F$9="Ft-1",B37,C37)=0,"",IF(ResumenIndicadores!$F$9="Ft-1",B37,C37)))</f>
        <v/>
      </c>
      <c r="G37" s="105"/>
      <c r="H37" s="105"/>
      <c r="I37" s="105"/>
      <c r="J37" s="105"/>
      <c r="K37" s="3"/>
      <c r="L37" s="3"/>
      <c r="M37" s="250"/>
      <c r="N37" s="250"/>
      <c r="O37" s="250"/>
      <c r="P37" s="250"/>
      <c r="Q37" s="258" t="s">
        <v>16</v>
      </c>
      <c r="R37" s="258" t="s">
        <v>15</v>
      </c>
      <c r="S37" s="258" t="s">
        <v>124</v>
      </c>
      <c r="T37" s="258" t="s">
        <v>125</v>
      </c>
      <c r="X37" s="250"/>
      <c r="Y37" s="250"/>
      <c r="Z37" s="250"/>
      <c r="AA37" s="250"/>
      <c r="AB37" s="258" t="s">
        <v>16</v>
      </c>
      <c r="AC37" s="258" t="s">
        <v>15</v>
      </c>
      <c r="AD37" s="258" t="s">
        <v>124</v>
      </c>
      <c r="AE37" s="259" t="s">
        <v>125</v>
      </c>
      <c r="AI37" s="250"/>
      <c r="AJ37" s="250"/>
      <c r="AK37" s="250"/>
      <c r="AL37" s="250"/>
      <c r="AM37" s="258" t="s">
        <v>16</v>
      </c>
      <c r="AN37" s="258" t="s">
        <v>15</v>
      </c>
      <c r="AO37" s="258" t="s">
        <v>124</v>
      </c>
      <c r="AP37" s="259" t="s">
        <v>125</v>
      </c>
      <c r="BQ37" s="250"/>
      <c r="BR37" s="250"/>
      <c r="BS37" s="250"/>
      <c r="BT37" s="250"/>
      <c r="BU37" s="258" t="s">
        <v>16</v>
      </c>
      <c r="BV37" s="258" t="s">
        <v>15</v>
      </c>
      <c r="BW37" s="258" t="s">
        <v>124</v>
      </c>
      <c r="BX37" s="259" t="s">
        <v>125</v>
      </c>
      <c r="CX37" s="249"/>
      <c r="CY37" s="249"/>
      <c r="DD37" s="250"/>
      <c r="DJ37" s="250"/>
      <c r="DY37" s="266"/>
    </row>
    <row r="38" spans="1:129">
      <c r="A38" s="781" t="str">
        <f>Historico!A38</f>
        <v>Costos Variables de Operación Adicional en Generación</v>
      </c>
      <c r="B38" s="16"/>
      <c r="C38" s="13"/>
      <c r="D38" s="76"/>
      <c r="E38" s="62"/>
      <c r="F38" s="13" t="str">
        <f>IF(AND(DAY($F$5)=1,MONTH($F$5)=5),$C$8,IF(IF(ResumenIndicadores!$F$9="Ft-1",B38,C38)=0,"",IF(ResumenIndicadores!$F$9="Ft-1",B38,C38)))</f>
        <v/>
      </c>
      <c r="G38" s="105"/>
      <c r="H38" s="105"/>
      <c r="I38" s="105"/>
      <c r="J38" s="105"/>
      <c r="K38" s="3"/>
      <c r="L38" s="3"/>
      <c r="M38" s="250"/>
      <c r="N38" s="250"/>
      <c r="O38" s="250"/>
      <c r="P38" s="250"/>
      <c r="Q38" s="36" t="s">
        <v>6</v>
      </c>
      <c r="R38" s="36" t="s">
        <v>7</v>
      </c>
      <c r="S38" s="36" t="s">
        <v>22</v>
      </c>
      <c r="T38" s="36" t="s">
        <v>23</v>
      </c>
      <c r="X38" s="268"/>
      <c r="Y38" s="268"/>
      <c r="Z38" s="268"/>
      <c r="AA38" s="269"/>
      <c r="AB38" s="36" t="s">
        <v>6</v>
      </c>
      <c r="AC38" s="36" t="s">
        <v>7</v>
      </c>
      <c r="AD38" s="36" t="s">
        <v>22</v>
      </c>
      <c r="AE38" s="113" t="s">
        <v>23</v>
      </c>
      <c r="AF38" s="113" t="s">
        <v>395</v>
      </c>
      <c r="AI38" s="268"/>
      <c r="AJ38" s="268"/>
      <c r="AK38" s="268"/>
      <c r="AL38" s="269"/>
      <c r="AM38" s="36" t="s">
        <v>6</v>
      </c>
      <c r="AN38" s="36" t="s">
        <v>7</v>
      </c>
      <c r="AO38" s="36" t="s">
        <v>22</v>
      </c>
      <c r="AP38" s="113" t="s">
        <v>23</v>
      </c>
      <c r="BQ38" s="268"/>
      <c r="BR38" s="268"/>
      <c r="BS38" s="268"/>
      <c r="BT38" s="269"/>
      <c r="BU38" s="36" t="s">
        <v>6</v>
      </c>
      <c r="BV38" s="36" t="s">
        <v>7</v>
      </c>
      <c r="BW38" s="36" t="s">
        <v>22</v>
      </c>
      <c r="BX38" s="113" t="s">
        <v>23</v>
      </c>
      <c r="BY38" s="113" t="s">
        <v>395</v>
      </c>
      <c r="CX38" s="280" t="s">
        <v>416</v>
      </c>
      <c r="CY38" s="268"/>
      <c r="CZ38" s="315" t="s">
        <v>395</v>
      </c>
      <c r="DD38" s="250"/>
      <c r="DJ38" s="250"/>
      <c r="DY38" s="266"/>
    </row>
    <row r="39" spans="1:129">
      <c r="A39" s="778" t="str">
        <f>Historico!A39</f>
        <v>Cargo Unitario por CVOA-CMg</v>
      </c>
      <c r="B39" s="16">
        <f>+Historico!N39</f>
        <v>1.7132000000000001</v>
      </c>
      <c r="C39" s="13">
        <f t="shared" si="19"/>
        <v>1.7132000000000001</v>
      </c>
      <c r="D39" s="76">
        <f t="shared" si="20"/>
        <v>0</v>
      </c>
      <c r="E39" s="62"/>
      <c r="F39" s="13">
        <f>IF(AND(DAY($F$5)=1,MONTH($F$5)=5),$C$8,IF(IF(ResumenIndicadores!$F$9="Ft-1",B39,C39)=0,0,IF(ResumenIndicadores!$F$9="Ft-1",B39,C39)))</f>
        <v>1.7132000000000001</v>
      </c>
      <c r="G39" s="105"/>
      <c r="H39" s="105"/>
      <c r="I39" s="105"/>
      <c r="J39" s="105"/>
      <c r="K39" s="3"/>
      <c r="L39" s="3"/>
      <c r="M39" s="243" t="s">
        <v>467</v>
      </c>
      <c r="N39" s="317"/>
      <c r="O39" s="317"/>
      <c r="P39" s="301"/>
      <c r="Q39" s="576">
        <v>0</v>
      </c>
      <c r="R39" s="576">
        <v>0</v>
      </c>
      <c r="S39" s="576">
        <v>0</v>
      </c>
      <c r="T39" s="576">
        <v>0</v>
      </c>
      <c r="X39" s="243" t="s">
        <v>467</v>
      </c>
      <c r="Y39" s="317"/>
      <c r="Z39" s="317"/>
      <c r="AA39" s="301"/>
      <c r="AB39" s="611">
        <v>0</v>
      </c>
      <c r="AC39" s="611">
        <v>0</v>
      </c>
      <c r="AD39" s="611">
        <v>0</v>
      </c>
      <c r="AE39" s="611">
        <v>0</v>
      </c>
      <c r="AF39" s="611">
        <f t="shared" ref="AF39:AF42" si="21">BY39</f>
        <v>1.7132000000000001</v>
      </c>
      <c r="AI39" s="30" t="s">
        <v>467</v>
      </c>
      <c r="AJ39" s="250"/>
      <c r="AK39" s="250"/>
      <c r="AL39" s="304"/>
      <c r="AM39" s="611">
        <v>0</v>
      </c>
      <c r="AN39" s="611">
        <v>0</v>
      </c>
      <c r="AO39" s="611">
        <v>0</v>
      </c>
      <c r="AP39" s="611">
        <v>0</v>
      </c>
      <c r="BQ39" s="30" t="s">
        <v>467</v>
      </c>
      <c r="BR39" s="250"/>
      <c r="BS39" s="250"/>
      <c r="BT39" s="304"/>
      <c r="BU39" s="611">
        <v>0</v>
      </c>
      <c r="BV39" s="611">
        <v>0</v>
      </c>
      <c r="BW39" s="611">
        <v>0</v>
      </c>
      <c r="BX39" s="611">
        <v>0</v>
      </c>
      <c r="BY39" s="611">
        <f>CZ39</f>
        <v>1.7132000000000001</v>
      </c>
      <c r="CX39" s="316" t="s">
        <v>351</v>
      </c>
      <c r="CY39" s="283"/>
      <c r="CZ39" s="613">
        <v>1.7132000000000001</v>
      </c>
      <c r="DD39" s="250"/>
      <c r="DJ39" s="250"/>
    </row>
    <row r="40" spans="1:129">
      <c r="A40" s="778" t="str">
        <f>Historico!A40</f>
        <v>Cargo Unitario por CVOA-RSC</v>
      </c>
      <c r="B40" s="16">
        <f>+Historico!N40</f>
        <v>0</v>
      </c>
      <c r="C40" s="13">
        <f t="shared" si="19"/>
        <v>0</v>
      </c>
      <c r="D40" s="76">
        <f t="shared" ref="D40:D58" si="22">IF(B40=0,0,C40/B40-1)</f>
        <v>0</v>
      </c>
      <c r="F40" s="13">
        <f>IF(AND(DAY($F$5)=1,MONTH($F$5)=5),$C$8,IF(IF(ResumenIndicadores!$F$9="Ft-1",B40,C40)=0,0,IF(ResumenIndicadores!$F$9="Ft-1",B40,C40)))</f>
        <v>0</v>
      </c>
      <c r="G40" s="105"/>
      <c r="H40" s="105"/>
      <c r="I40" s="105"/>
      <c r="J40" s="105"/>
      <c r="K40" s="3"/>
      <c r="L40" s="3"/>
      <c r="M40" s="49" t="s">
        <v>468</v>
      </c>
      <c r="N40" s="268"/>
      <c r="O40" s="268"/>
      <c r="P40" s="269"/>
      <c r="Q40" s="577">
        <v>0</v>
      </c>
      <c r="R40" s="577">
        <v>0</v>
      </c>
      <c r="S40" s="577">
        <v>0</v>
      </c>
      <c r="T40" s="577">
        <v>0</v>
      </c>
      <c r="X40" s="49" t="s">
        <v>468</v>
      </c>
      <c r="Y40" s="268"/>
      <c r="Z40" s="268"/>
      <c r="AA40" s="269"/>
      <c r="AB40" s="612">
        <v>0</v>
      </c>
      <c r="AC40" s="612">
        <v>0</v>
      </c>
      <c r="AD40" s="612">
        <v>0</v>
      </c>
      <c r="AE40" s="612">
        <v>0</v>
      </c>
      <c r="AF40" s="611">
        <f t="shared" si="21"/>
        <v>0</v>
      </c>
      <c r="AI40" s="49" t="s">
        <v>468</v>
      </c>
      <c r="AJ40" s="268"/>
      <c r="AK40" s="268"/>
      <c r="AL40" s="269"/>
      <c r="AM40" s="612">
        <v>0</v>
      </c>
      <c r="AN40" s="612">
        <v>0</v>
      </c>
      <c r="AO40" s="612">
        <v>0</v>
      </c>
      <c r="AP40" s="612">
        <v>0</v>
      </c>
      <c r="BQ40" s="49" t="s">
        <v>468</v>
      </c>
      <c r="BR40" s="268"/>
      <c r="BS40" s="268"/>
      <c r="BT40" s="269"/>
      <c r="BU40" s="612">
        <v>0</v>
      </c>
      <c r="BV40" s="612">
        <v>0</v>
      </c>
      <c r="BW40" s="612">
        <v>0</v>
      </c>
      <c r="BX40" s="612">
        <v>0</v>
      </c>
      <c r="BY40" s="612">
        <f>CZ40</f>
        <v>0</v>
      </c>
      <c r="CX40" s="318" t="s">
        <v>352</v>
      </c>
      <c r="CY40" s="268"/>
      <c r="CZ40" s="612">
        <v>0</v>
      </c>
    </row>
    <row r="41" spans="1:129">
      <c r="A41" s="781" t="str">
        <f>Historico!A41</f>
        <v>Cargo por Prima</v>
      </c>
      <c r="B41" s="16" t="str">
        <f>+Historico!N41</f>
        <v/>
      </c>
      <c r="C41" s="13"/>
      <c r="D41" s="76"/>
      <c r="F41" s="13" t="str">
        <f>IF(AND(DAY($F$5)=1,MONTH($F$5)=5),$C$8,IF(IF(ResumenIndicadores!$F$9="Ft-1",B41,C41)=0,"",IF(ResumenIndicadores!$F$9="Ft-1",B41,C41)))</f>
        <v/>
      </c>
      <c r="G41" s="105"/>
      <c r="H41" s="105"/>
      <c r="I41" s="105"/>
      <c r="J41" s="105"/>
      <c r="K41" s="3"/>
      <c r="L41" s="3"/>
      <c r="M41" s="597" t="s">
        <v>394</v>
      </c>
      <c r="N41" s="278"/>
      <c r="O41" s="278"/>
      <c r="P41" s="279"/>
      <c r="Q41" s="578"/>
      <c r="R41" s="578"/>
      <c r="S41" s="578"/>
      <c r="T41" s="578"/>
      <c r="X41" s="597" t="s">
        <v>394</v>
      </c>
      <c r="Y41" s="278"/>
      <c r="Z41" s="278"/>
      <c r="AA41" s="279"/>
      <c r="AB41" s="117"/>
      <c r="AC41" s="117"/>
      <c r="AD41" s="117"/>
      <c r="AE41" s="117"/>
      <c r="AF41" s="117"/>
      <c r="AI41" s="597" t="s">
        <v>394</v>
      </c>
      <c r="AJ41" s="278"/>
      <c r="AK41" s="278"/>
      <c r="AL41" s="279"/>
      <c r="AM41" s="117"/>
      <c r="AN41" s="117"/>
      <c r="AO41" s="117"/>
      <c r="AP41" s="117"/>
      <c r="BQ41" s="597" t="s">
        <v>394</v>
      </c>
      <c r="BR41" s="278"/>
      <c r="BS41" s="278"/>
      <c r="BT41" s="279"/>
      <c r="BU41" s="117"/>
      <c r="BV41" s="117"/>
      <c r="BW41" s="117"/>
      <c r="BX41" s="117"/>
      <c r="BY41" s="117"/>
      <c r="CX41" s="657" t="s">
        <v>394</v>
      </c>
      <c r="CY41" s="278"/>
      <c r="CZ41" s="117"/>
      <c r="DY41" s="266"/>
    </row>
    <row r="42" spans="1:129">
      <c r="A42" s="778" t="str">
        <f>Historico!A42</f>
        <v>Cogeneración Paramonga</v>
      </c>
      <c r="B42" s="16">
        <f>+Historico!N42</f>
        <v>0</v>
      </c>
      <c r="C42" s="13">
        <f t="shared" si="19"/>
        <v>0</v>
      </c>
      <c r="D42" s="76">
        <f t="shared" si="22"/>
        <v>0</v>
      </c>
      <c r="F42" s="13">
        <f>IF(AND(DAY($F$5)=1,MONTH($F$5)=5),$C$8,IF(IF(ResumenIndicadores!$F$9="Ft-1",B42,C42)=0,0,IF(ResumenIndicadores!$F$9="Ft-1",B42,C42)))</f>
        <v>0</v>
      </c>
      <c r="G42" s="105"/>
      <c r="H42" s="105"/>
      <c r="I42" s="105"/>
      <c r="J42" s="105"/>
      <c r="K42" s="3"/>
      <c r="L42" s="3"/>
      <c r="M42" s="243" t="s">
        <v>185</v>
      </c>
      <c r="N42" s="283"/>
      <c r="O42" s="283"/>
      <c r="P42" s="301"/>
      <c r="Q42" s="579">
        <v>0</v>
      </c>
      <c r="R42" s="579">
        <v>0</v>
      </c>
      <c r="S42" s="579">
        <v>0</v>
      </c>
      <c r="T42" s="579">
        <v>0</v>
      </c>
      <c r="X42" s="243" t="s">
        <v>185</v>
      </c>
      <c r="Y42" s="283"/>
      <c r="Z42" s="283"/>
      <c r="AA42" s="301"/>
      <c r="AB42" s="613">
        <v>0</v>
      </c>
      <c r="AC42" s="613">
        <v>0</v>
      </c>
      <c r="AD42" s="613">
        <v>0</v>
      </c>
      <c r="AE42" s="613">
        <v>0</v>
      </c>
      <c r="AF42" s="611">
        <f t="shared" si="21"/>
        <v>0</v>
      </c>
      <c r="AI42" s="243" t="s">
        <v>185</v>
      </c>
      <c r="AJ42" s="283"/>
      <c r="AK42" s="283"/>
      <c r="AL42" s="301"/>
      <c r="AM42" s="613">
        <v>0</v>
      </c>
      <c r="AN42" s="613">
        <v>0</v>
      </c>
      <c r="AO42" s="613">
        <v>0</v>
      </c>
      <c r="AP42" s="613">
        <v>0</v>
      </c>
      <c r="BQ42" s="243" t="s">
        <v>185</v>
      </c>
      <c r="BR42" s="283"/>
      <c r="BS42" s="283"/>
      <c r="BT42" s="301"/>
      <c r="BU42" s="613">
        <v>0</v>
      </c>
      <c r="BV42" s="613">
        <v>0</v>
      </c>
      <c r="BW42" s="613">
        <v>0</v>
      </c>
      <c r="BX42" s="613">
        <v>0</v>
      </c>
      <c r="BY42" s="613">
        <f t="shared" ref="BY42:BY54" si="23">CZ42</f>
        <v>0</v>
      </c>
      <c r="CX42" s="316" t="s">
        <v>185</v>
      </c>
      <c r="CY42" s="283"/>
      <c r="CZ42" s="613">
        <v>0</v>
      </c>
      <c r="DD42" s="308"/>
    </row>
    <row r="43" spans="1:129">
      <c r="A43" s="778" t="str">
        <f>Historico!A43</f>
        <v>C.H. Santa Cruz II</v>
      </c>
      <c r="B43" s="16">
        <f>+Historico!N43</f>
        <v>1</v>
      </c>
      <c r="C43" s="13">
        <f t="shared" si="19"/>
        <v>1</v>
      </c>
      <c r="D43" s="76">
        <f t="shared" si="22"/>
        <v>0</v>
      </c>
      <c r="F43" s="13">
        <f>IF(AND(DAY($F$5)=1,MONTH($F$5)=5),$C$8,IF(IF(ResumenIndicadores!$F$9="Ft-1",B43,C43)=0,0,IF(ResumenIndicadores!$F$9="Ft-1",B43,C43)))</f>
        <v>1</v>
      </c>
      <c r="G43" s="105"/>
      <c r="H43" s="105"/>
      <c r="I43" s="105"/>
      <c r="J43" s="105"/>
      <c r="K43" s="3"/>
      <c r="L43" s="3"/>
      <c r="M43" s="30" t="s">
        <v>278</v>
      </c>
      <c r="N43" s="250"/>
      <c r="O43" s="250"/>
      <c r="P43" s="304"/>
      <c r="Q43" s="576">
        <v>0</v>
      </c>
      <c r="R43" s="576">
        <v>0</v>
      </c>
      <c r="S43" s="576">
        <v>0</v>
      </c>
      <c r="T43" s="576">
        <v>0</v>
      </c>
      <c r="X43" s="30" t="s">
        <v>278</v>
      </c>
      <c r="Y43" s="250"/>
      <c r="Z43" s="250"/>
      <c r="AA43" s="304"/>
      <c r="AB43" s="611">
        <v>0</v>
      </c>
      <c r="AC43" s="611">
        <v>0</v>
      </c>
      <c r="AD43" s="611">
        <v>0</v>
      </c>
      <c r="AE43" s="611">
        <v>0</v>
      </c>
      <c r="AF43" s="611">
        <f t="shared" ref="AF43:AF51" si="24">BY43</f>
        <v>1</v>
      </c>
      <c r="AI43" s="30" t="s">
        <v>278</v>
      </c>
      <c r="AJ43" s="250"/>
      <c r="AK43" s="250"/>
      <c r="AL43" s="304"/>
      <c r="AM43" s="611">
        <v>0</v>
      </c>
      <c r="AN43" s="611">
        <v>0</v>
      </c>
      <c r="AO43" s="611">
        <v>0</v>
      </c>
      <c r="AP43" s="611">
        <v>0</v>
      </c>
      <c r="BQ43" s="30" t="s">
        <v>278</v>
      </c>
      <c r="BR43" s="250"/>
      <c r="BS43" s="250"/>
      <c r="BT43" s="304"/>
      <c r="BU43" s="611">
        <v>0</v>
      </c>
      <c r="BV43" s="611">
        <v>0</v>
      </c>
      <c r="BW43" s="611">
        <v>0</v>
      </c>
      <c r="BX43" s="611">
        <v>0</v>
      </c>
      <c r="BY43" s="611">
        <f t="shared" si="23"/>
        <v>1</v>
      </c>
      <c r="CX43" s="244" t="s">
        <v>278</v>
      </c>
      <c r="CZ43" s="611">
        <v>1</v>
      </c>
      <c r="DD43" s="246"/>
    </row>
    <row r="44" spans="1:129">
      <c r="A44" s="778" t="str">
        <f>Historico!A44</f>
        <v>C.H. Santa Cruz I</v>
      </c>
      <c r="B44" s="16">
        <f>+Historico!N44</f>
        <v>1</v>
      </c>
      <c r="C44" s="13">
        <f t="shared" si="19"/>
        <v>1</v>
      </c>
      <c r="D44" s="76">
        <f t="shared" si="22"/>
        <v>0</v>
      </c>
      <c r="F44" s="13">
        <f>IF(AND(DAY($F$5)=1,MONTH($F$5)=5),$C$8,IF(IF(ResumenIndicadores!$F$9="Ft-1",B44,C44)=0,0,IF(ResumenIndicadores!$F$9="Ft-1",B44,C44)))</f>
        <v>1</v>
      </c>
      <c r="G44" s="105"/>
      <c r="H44" s="105"/>
      <c r="I44" s="105"/>
      <c r="J44" s="105"/>
      <c r="K44" s="3"/>
      <c r="L44" s="3"/>
      <c r="M44" s="30" t="s">
        <v>279</v>
      </c>
      <c r="N44" s="250"/>
      <c r="O44" s="250"/>
      <c r="P44" s="304"/>
      <c r="Q44" s="576">
        <v>0</v>
      </c>
      <c r="R44" s="576">
        <v>0</v>
      </c>
      <c r="S44" s="576">
        <v>0</v>
      </c>
      <c r="T44" s="576">
        <v>0</v>
      </c>
      <c r="X44" s="30" t="s">
        <v>279</v>
      </c>
      <c r="Y44" s="250"/>
      <c r="Z44" s="250"/>
      <c r="AA44" s="304"/>
      <c r="AB44" s="611">
        <v>0</v>
      </c>
      <c r="AC44" s="611">
        <v>0</v>
      </c>
      <c r="AD44" s="611">
        <v>0</v>
      </c>
      <c r="AE44" s="611">
        <v>0</v>
      </c>
      <c r="AF44" s="611">
        <f t="shared" si="24"/>
        <v>1</v>
      </c>
      <c r="AI44" s="30" t="s">
        <v>279</v>
      </c>
      <c r="AJ44" s="250"/>
      <c r="AK44" s="250"/>
      <c r="AL44" s="304"/>
      <c r="AM44" s="611">
        <v>0</v>
      </c>
      <c r="AN44" s="611">
        <v>0</v>
      </c>
      <c r="AO44" s="611">
        <v>0</v>
      </c>
      <c r="AP44" s="611">
        <v>0</v>
      </c>
      <c r="BQ44" s="30" t="s">
        <v>279</v>
      </c>
      <c r="BR44" s="250"/>
      <c r="BS44" s="250"/>
      <c r="BT44" s="304"/>
      <c r="BU44" s="611">
        <v>0</v>
      </c>
      <c r="BV44" s="611">
        <v>0</v>
      </c>
      <c r="BW44" s="611">
        <v>0</v>
      </c>
      <c r="BX44" s="611">
        <v>0</v>
      </c>
      <c r="BY44" s="611">
        <f t="shared" si="23"/>
        <v>1</v>
      </c>
      <c r="CX44" s="244" t="s">
        <v>279</v>
      </c>
      <c r="CZ44" s="611">
        <v>1</v>
      </c>
      <c r="DD44" s="246"/>
    </row>
    <row r="45" spans="1:129">
      <c r="A45" s="778" t="str">
        <f>Historico!A45</f>
        <v>C.H. Poechos 2</v>
      </c>
      <c r="B45" s="16">
        <f>+Historico!N45</f>
        <v>1.25</v>
      </c>
      <c r="C45" s="13">
        <f t="shared" si="19"/>
        <v>1.25</v>
      </c>
      <c r="D45" s="76">
        <f t="shared" si="22"/>
        <v>0</v>
      </c>
      <c r="F45" s="13">
        <f>IF(AND(DAY($F$5)=1,MONTH($F$5)=5),$C$8,IF(IF(ResumenIndicadores!$F$9="Ft-1",B45,C45)=0,0,IF(ResumenIndicadores!$F$9="Ft-1",B45,C45)))</f>
        <v>1.25</v>
      </c>
      <c r="G45" s="105"/>
      <c r="H45" s="105"/>
      <c r="I45" s="105"/>
      <c r="J45" s="105"/>
      <c r="K45" s="3"/>
      <c r="L45" s="3"/>
      <c r="M45" s="30" t="s">
        <v>186</v>
      </c>
      <c r="N45" s="250"/>
      <c r="O45" s="250"/>
      <c r="P45" s="304"/>
      <c r="Q45" s="576">
        <v>0</v>
      </c>
      <c r="R45" s="576">
        <v>0</v>
      </c>
      <c r="S45" s="576">
        <v>0</v>
      </c>
      <c r="T45" s="576">
        <v>0</v>
      </c>
      <c r="X45" s="30" t="s">
        <v>186</v>
      </c>
      <c r="Y45" s="250"/>
      <c r="Z45" s="250"/>
      <c r="AA45" s="304"/>
      <c r="AB45" s="611">
        <v>0</v>
      </c>
      <c r="AC45" s="611">
        <v>0</v>
      </c>
      <c r="AD45" s="611">
        <v>0</v>
      </c>
      <c r="AE45" s="611">
        <v>0</v>
      </c>
      <c r="AF45" s="611">
        <f t="shared" si="24"/>
        <v>1.25</v>
      </c>
      <c r="AI45" s="30" t="s">
        <v>186</v>
      </c>
      <c r="AJ45" s="250"/>
      <c r="AK45" s="250"/>
      <c r="AL45" s="304"/>
      <c r="AM45" s="611">
        <v>0</v>
      </c>
      <c r="AN45" s="611">
        <v>0</v>
      </c>
      <c r="AO45" s="611">
        <v>0</v>
      </c>
      <c r="AP45" s="611">
        <v>0</v>
      </c>
      <c r="BQ45" s="30" t="s">
        <v>186</v>
      </c>
      <c r="BR45" s="250"/>
      <c r="BS45" s="250"/>
      <c r="BT45" s="304"/>
      <c r="BU45" s="611">
        <v>0</v>
      </c>
      <c r="BV45" s="611">
        <v>0</v>
      </c>
      <c r="BW45" s="611">
        <v>0</v>
      </c>
      <c r="BX45" s="611">
        <v>0</v>
      </c>
      <c r="BY45" s="611">
        <f t="shared" si="23"/>
        <v>1.25</v>
      </c>
      <c r="CX45" s="244" t="s">
        <v>186</v>
      </c>
      <c r="CZ45" s="611">
        <v>1.25</v>
      </c>
      <c r="DD45" s="312"/>
    </row>
    <row r="46" spans="1:129">
      <c r="A46" s="778" t="str">
        <f>Historico!A46</f>
        <v>C.H. Roncador</v>
      </c>
      <c r="B46" s="16">
        <f>+Historico!N46</f>
        <v>0.5</v>
      </c>
      <c r="C46" s="13">
        <f t="shared" si="19"/>
        <v>0.5</v>
      </c>
      <c r="D46" s="76">
        <f t="shared" si="22"/>
        <v>0</v>
      </c>
      <c r="F46" s="13">
        <f>IF(AND(DAY($F$5)=1,MONTH($F$5)=5),$C$8,IF(IF(ResumenIndicadores!$F$9="Ft-1",B46,C46)=0,0,IF(ResumenIndicadores!$F$9="Ft-1",B46,C46)))</f>
        <v>0.5</v>
      </c>
      <c r="G46" s="105"/>
      <c r="H46" s="105"/>
      <c r="I46" s="105"/>
      <c r="J46" s="105"/>
      <c r="K46" s="3"/>
      <c r="L46" s="3"/>
      <c r="M46" s="30" t="s">
        <v>191</v>
      </c>
      <c r="N46" s="250"/>
      <c r="O46" s="250"/>
      <c r="P46" s="304"/>
      <c r="Q46" s="576">
        <v>0</v>
      </c>
      <c r="R46" s="576">
        <v>0</v>
      </c>
      <c r="S46" s="576">
        <v>0</v>
      </c>
      <c r="T46" s="576">
        <v>0</v>
      </c>
      <c r="X46" s="30" t="s">
        <v>191</v>
      </c>
      <c r="Y46" s="250"/>
      <c r="Z46" s="250"/>
      <c r="AA46" s="304"/>
      <c r="AB46" s="611">
        <v>0</v>
      </c>
      <c r="AC46" s="611">
        <v>0</v>
      </c>
      <c r="AD46" s="611">
        <v>0</v>
      </c>
      <c r="AE46" s="611">
        <v>0</v>
      </c>
      <c r="AF46" s="611">
        <f t="shared" si="24"/>
        <v>0.5</v>
      </c>
      <c r="AI46" s="30" t="s">
        <v>191</v>
      </c>
      <c r="AJ46" s="250"/>
      <c r="AK46" s="250"/>
      <c r="AL46" s="304"/>
      <c r="AM46" s="611">
        <v>0</v>
      </c>
      <c r="AN46" s="611">
        <v>0</v>
      </c>
      <c r="AO46" s="611">
        <v>0</v>
      </c>
      <c r="AP46" s="611">
        <v>0</v>
      </c>
      <c r="BQ46" s="30" t="s">
        <v>191</v>
      </c>
      <c r="BR46" s="250"/>
      <c r="BS46" s="250"/>
      <c r="BT46" s="304"/>
      <c r="BU46" s="611">
        <v>0</v>
      </c>
      <c r="BV46" s="611">
        <v>0</v>
      </c>
      <c r="BW46" s="611">
        <v>0</v>
      </c>
      <c r="BX46" s="611">
        <v>0</v>
      </c>
      <c r="BY46" s="611">
        <f t="shared" si="23"/>
        <v>0.5</v>
      </c>
      <c r="CX46" s="244" t="s">
        <v>191</v>
      </c>
      <c r="CZ46" s="611">
        <v>0.5</v>
      </c>
    </row>
    <row r="47" spans="1:129">
      <c r="A47" s="778" t="str">
        <f>Historico!A47</f>
        <v>C.H. Carhuaquero IV</v>
      </c>
      <c r="B47" s="16">
        <f>+Historico!N47</f>
        <v>1</v>
      </c>
      <c r="C47" s="13">
        <f>ROUND(Q47*AB47+R47*AC47+S47*AD47+T47*AE47+AF47,4)</f>
        <v>1</v>
      </c>
      <c r="D47" s="76">
        <f t="shared" si="22"/>
        <v>0</v>
      </c>
      <c r="F47" s="13">
        <f>IF(AND(DAY($F$5)=1,MONTH($F$5)=5),$C$8,IF(IF(ResumenIndicadores!$F$9="Ft-1",B47,C47)=0,0,IF(ResumenIndicadores!$F$9="Ft-1",B47,C47)))</f>
        <v>1</v>
      </c>
      <c r="G47" s="105"/>
      <c r="H47" s="105"/>
      <c r="I47" s="105"/>
      <c r="J47" s="105"/>
      <c r="K47" s="3"/>
      <c r="L47" s="3"/>
      <c r="M47" s="30" t="s">
        <v>187</v>
      </c>
      <c r="N47" s="250"/>
      <c r="O47" s="250"/>
      <c r="P47" s="304"/>
      <c r="Q47" s="576">
        <v>0</v>
      </c>
      <c r="R47" s="576">
        <v>0</v>
      </c>
      <c r="S47" s="576">
        <v>0</v>
      </c>
      <c r="T47" s="576">
        <v>0</v>
      </c>
      <c r="X47" s="30" t="s">
        <v>187</v>
      </c>
      <c r="Y47" s="250"/>
      <c r="Z47" s="250"/>
      <c r="AA47" s="304"/>
      <c r="AB47" s="611">
        <v>0</v>
      </c>
      <c r="AC47" s="611">
        <v>0</v>
      </c>
      <c r="AD47" s="611">
        <v>0</v>
      </c>
      <c r="AE47" s="611">
        <v>0</v>
      </c>
      <c r="AF47" s="611">
        <f t="shared" si="24"/>
        <v>1</v>
      </c>
      <c r="AI47" s="30" t="s">
        <v>187</v>
      </c>
      <c r="AJ47" s="250"/>
      <c r="AK47" s="250"/>
      <c r="AL47" s="304"/>
      <c r="AM47" s="611">
        <v>0</v>
      </c>
      <c r="AN47" s="611">
        <v>0</v>
      </c>
      <c r="AO47" s="611">
        <v>0</v>
      </c>
      <c r="AP47" s="611">
        <v>0</v>
      </c>
      <c r="BQ47" s="30" t="s">
        <v>187</v>
      </c>
      <c r="BR47" s="250"/>
      <c r="BS47" s="250"/>
      <c r="BT47" s="304"/>
      <c r="BU47" s="611">
        <v>0</v>
      </c>
      <c r="BV47" s="611">
        <v>0</v>
      </c>
      <c r="BW47" s="611">
        <v>0</v>
      </c>
      <c r="BX47" s="611">
        <v>0</v>
      </c>
      <c r="BY47" s="611">
        <f t="shared" si="23"/>
        <v>1</v>
      </c>
      <c r="CX47" s="244" t="s">
        <v>187</v>
      </c>
      <c r="CZ47" s="611">
        <v>1</v>
      </c>
    </row>
    <row r="48" spans="1:129">
      <c r="A48" s="778" t="str">
        <f>Historico!A48</f>
        <v>C.H. Caña Brava</v>
      </c>
      <c r="B48" s="16">
        <f>+Historico!N48</f>
        <v>1</v>
      </c>
      <c r="C48" s="13">
        <f t="shared" si="19"/>
        <v>1</v>
      </c>
      <c r="D48" s="76">
        <f t="shared" si="22"/>
        <v>0</v>
      </c>
      <c r="F48" s="13">
        <f>IF(AND(DAY($F$5)=1,MONTH($F$5)=5),$C$8,IF(IF(ResumenIndicadores!$F$9="Ft-1",B48,C48)=0,0,IF(ResumenIndicadores!$F$9="Ft-1",B48,C48)))</f>
        <v>1</v>
      </c>
      <c r="G48" s="105"/>
      <c r="H48" s="105"/>
      <c r="I48" s="105"/>
      <c r="J48" s="105"/>
      <c r="K48" s="3"/>
      <c r="L48" s="3"/>
      <c r="M48" s="30" t="s">
        <v>188</v>
      </c>
      <c r="N48" s="250"/>
      <c r="O48" s="250"/>
      <c r="P48" s="304"/>
      <c r="Q48" s="576">
        <v>0</v>
      </c>
      <c r="R48" s="576">
        <v>0</v>
      </c>
      <c r="S48" s="576">
        <v>0</v>
      </c>
      <c r="T48" s="576">
        <v>0</v>
      </c>
      <c r="X48" s="30" t="s">
        <v>188</v>
      </c>
      <c r="Y48" s="250"/>
      <c r="Z48" s="250"/>
      <c r="AA48" s="304"/>
      <c r="AB48" s="611">
        <v>0</v>
      </c>
      <c r="AC48" s="611">
        <v>0</v>
      </c>
      <c r="AD48" s="611">
        <v>0</v>
      </c>
      <c r="AE48" s="611">
        <v>0</v>
      </c>
      <c r="AF48" s="611">
        <f t="shared" si="24"/>
        <v>1</v>
      </c>
      <c r="AI48" s="30" t="s">
        <v>188</v>
      </c>
      <c r="AJ48" s="250"/>
      <c r="AK48" s="250"/>
      <c r="AL48" s="304"/>
      <c r="AM48" s="611">
        <v>0</v>
      </c>
      <c r="AN48" s="611">
        <v>0</v>
      </c>
      <c r="AO48" s="611">
        <v>0</v>
      </c>
      <c r="AP48" s="611">
        <v>0</v>
      </c>
      <c r="BQ48" s="30" t="s">
        <v>188</v>
      </c>
      <c r="BR48" s="250"/>
      <c r="BS48" s="250"/>
      <c r="BT48" s="304"/>
      <c r="BU48" s="611">
        <v>0</v>
      </c>
      <c r="BV48" s="611">
        <v>0</v>
      </c>
      <c r="BW48" s="611">
        <v>0</v>
      </c>
      <c r="BX48" s="611">
        <v>0</v>
      </c>
      <c r="BY48" s="611">
        <f t="shared" si="23"/>
        <v>1</v>
      </c>
      <c r="CX48" s="244" t="s">
        <v>188</v>
      </c>
      <c r="CZ48" s="611">
        <v>1</v>
      </c>
    </row>
    <row r="49" spans="1:129">
      <c r="A49" s="778" t="str">
        <f>Historico!A49</f>
        <v>C.H. La Joya</v>
      </c>
      <c r="B49" s="16">
        <f>+Historico!N49</f>
        <v>1.6667000000000001</v>
      </c>
      <c r="C49" s="13">
        <f t="shared" si="19"/>
        <v>1.6667000000000001</v>
      </c>
      <c r="D49" s="76">
        <f t="shared" si="22"/>
        <v>0</v>
      </c>
      <c r="F49" s="13">
        <f>IF(AND(DAY($F$5)=1,MONTH($F$5)=5),$C$8,IF(IF(ResumenIndicadores!$F$9="Ft-1",B49,C49)=0,0,IF(ResumenIndicadores!$F$9="Ft-1",B49,C49)))</f>
        <v>1.6667000000000001</v>
      </c>
      <c r="G49" s="105"/>
      <c r="H49" s="105"/>
      <c r="I49" s="105"/>
      <c r="J49" s="105"/>
      <c r="K49" s="3"/>
      <c r="L49" s="3"/>
      <c r="M49" s="30" t="s">
        <v>189</v>
      </c>
      <c r="N49" s="250"/>
      <c r="O49" s="250"/>
      <c r="P49" s="304"/>
      <c r="Q49" s="576">
        <v>0</v>
      </c>
      <c r="R49" s="576">
        <v>0</v>
      </c>
      <c r="S49" s="576">
        <v>0</v>
      </c>
      <c r="T49" s="576">
        <v>0</v>
      </c>
      <c r="X49" s="30" t="s">
        <v>189</v>
      </c>
      <c r="Y49" s="250"/>
      <c r="Z49" s="250"/>
      <c r="AA49" s="304"/>
      <c r="AB49" s="611">
        <v>0</v>
      </c>
      <c r="AC49" s="611">
        <v>0</v>
      </c>
      <c r="AD49" s="611">
        <v>0</v>
      </c>
      <c r="AE49" s="611">
        <v>0</v>
      </c>
      <c r="AF49" s="611">
        <f t="shared" si="24"/>
        <v>1.6667000000000001</v>
      </c>
      <c r="AI49" s="30" t="s">
        <v>189</v>
      </c>
      <c r="AJ49" s="250"/>
      <c r="AK49" s="250"/>
      <c r="AL49" s="304"/>
      <c r="AM49" s="611">
        <v>0</v>
      </c>
      <c r="AN49" s="611">
        <v>0</v>
      </c>
      <c r="AO49" s="611">
        <v>0</v>
      </c>
      <c r="AP49" s="611">
        <v>0</v>
      </c>
      <c r="BQ49" s="30" t="s">
        <v>189</v>
      </c>
      <c r="BR49" s="250"/>
      <c r="BS49" s="250"/>
      <c r="BT49" s="304"/>
      <c r="BU49" s="611">
        <v>0</v>
      </c>
      <c r="BV49" s="611">
        <v>0</v>
      </c>
      <c r="BW49" s="611">
        <v>0</v>
      </c>
      <c r="BX49" s="611">
        <v>0</v>
      </c>
      <c r="BY49" s="611">
        <f t="shared" si="23"/>
        <v>1.6667000000000001</v>
      </c>
      <c r="CX49" s="244" t="s">
        <v>189</v>
      </c>
      <c r="CZ49" s="611">
        <v>1.6667000000000001</v>
      </c>
      <c r="DA49" s="257"/>
      <c r="DB49" s="257"/>
      <c r="DC49" s="309"/>
      <c r="DD49" s="319"/>
    </row>
    <row r="50" spans="1:129">
      <c r="A50" s="778" t="str">
        <f>Historico!A50</f>
        <v>C.T. Huaycoloro</v>
      </c>
      <c r="B50" s="16">
        <f>+Historico!N50</f>
        <v>0.92859999999999998</v>
      </c>
      <c r="C50" s="13">
        <f t="shared" si="19"/>
        <v>0.92859999999999998</v>
      </c>
      <c r="D50" s="76">
        <f t="shared" si="22"/>
        <v>0</v>
      </c>
      <c r="F50" s="13">
        <f>IF(AND(DAY($F$5)=1,MONTH($F$5)=5),$C$8,IF(IF(ResumenIndicadores!$F$9="Ft-1",B50,C50)=0,0,IF(ResumenIndicadores!$F$9="Ft-1",B50,C50)))</f>
        <v>0.92859999999999998</v>
      </c>
      <c r="G50" s="105"/>
      <c r="H50" s="105"/>
      <c r="I50" s="105"/>
      <c r="J50" s="105"/>
      <c r="K50" s="3"/>
      <c r="L50" s="3"/>
      <c r="M50" s="30" t="s">
        <v>344</v>
      </c>
      <c r="N50" s="250"/>
      <c r="O50" s="250"/>
      <c r="P50" s="304"/>
      <c r="Q50" s="576">
        <v>0</v>
      </c>
      <c r="R50" s="576">
        <v>0</v>
      </c>
      <c r="S50" s="576">
        <v>0</v>
      </c>
      <c r="T50" s="576">
        <v>0</v>
      </c>
      <c r="X50" s="30" t="s">
        <v>344</v>
      </c>
      <c r="Y50" s="250"/>
      <c r="Z50" s="250"/>
      <c r="AA50" s="304"/>
      <c r="AB50" s="611">
        <v>0</v>
      </c>
      <c r="AC50" s="611">
        <v>0</v>
      </c>
      <c r="AD50" s="611">
        <v>0</v>
      </c>
      <c r="AE50" s="611">
        <v>0</v>
      </c>
      <c r="AF50" s="611">
        <f t="shared" si="24"/>
        <v>0.92859999999999998</v>
      </c>
      <c r="AI50" s="30" t="s">
        <v>344</v>
      </c>
      <c r="AJ50" s="250"/>
      <c r="AK50" s="250"/>
      <c r="AL50" s="304"/>
      <c r="AM50" s="611">
        <v>0</v>
      </c>
      <c r="AN50" s="611">
        <v>0</v>
      </c>
      <c r="AO50" s="611">
        <v>0</v>
      </c>
      <c r="AP50" s="611">
        <v>0</v>
      </c>
      <c r="BQ50" s="30" t="s">
        <v>344</v>
      </c>
      <c r="BR50" s="250"/>
      <c r="BS50" s="250"/>
      <c r="BT50" s="304"/>
      <c r="BU50" s="611">
        <v>0</v>
      </c>
      <c r="BV50" s="611">
        <v>0</v>
      </c>
      <c r="BW50" s="611">
        <v>0</v>
      </c>
      <c r="BX50" s="611">
        <v>0</v>
      </c>
      <c r="BY50" s="611">
        <f t="shared" si="23"/>
        <v>0.92859999999999998</v>
      </c>
      <c r="CX50" s="244" t="s">
        <v>344</v>
      </c>
      <c r="CZ50" s="611">
        <v>0.92859999999999998</v>
      </c>
    </row>
    <row r="51" spans="1:129">
      <c r="A51" s="778" t="str">
        <f>Historico!A51</f>
        <v>C. H. Purmacana</v>
      </c>
      <c r="B51" s="16">
        <f>+Historico!N51</f>
        <v>0</v>
      </c>
      <c r="C51" s="13">
        <f t="shared" si="19"/>
        <v>0</v>
      </c>
      <c r="D51" s="76">
        <f t="shared" si="22"/>
        <v>0</v>
      </c>
      <c r="F51" s="13">
        <f>IF(AND(DAY($F$5)=1,MONTH($F$5)=5),$C$8,IF(IF(ResumenIndicadores!$F$9="Ft-1",B51,C51)=0,0,IF(ResumenIndicadores!$F$9="Ft-1",B51,C51)))</f>
        <v>0</v>
      </c>
      <c r="G51" s="105"/>
      <c r="H51" s="105"/>
      <c r="I51" s="105"/>
      <c r="J51" s="105"/>
      <c r="K51" s="3"/>
      <c r="L51" s="3"/>
      <c r="M51" s="30" t="s">
        <v>280</v>
      </c>
      <c r="N51" s="250"/>
      <c r="O51" s="250"/>
      <c r="P51" s="304"/>
      <c r="Q51" s="576">
        <v>0</v>
      </c>
      <c r="R51" s="576">
        <v>0</v>
      </c>
      <c r="S51" s="576">
        <v>0</v>
      </c>
      <c r="T51" s="576">
        <v>0</v>
      </c>
      <c r="X51" s="30" t="s">
        <v>280</v>
      </c>
      <c r="Y51" s="250"/>
      <c r="Z51" s="250"/>
      <c r="AA51" s="304"/>
      <c r="AB51" s="611">
        <v>0</v>
      </c>
      <c r="AC51" s="611">
        <v>0</v>
      </c>
      <c r="AD51" s="611">
        <v>0</v>
      </c>
      <c r="AE51" s="611">
        <v>0</v>
      </c>
      <c r="AF51" s="611">
        <f t="shared" si="24"/>
        <v>0</v>
      </c>
      <c r="AI51" s="30" t="s">
        <v>280</v>
      </c>
      <c r="AJ51" s="250"/>
      <c r="AK51" s="250"/>
      <c r="AL51" s="304"/>
      <c r="AM51" s="611">
        <v>0</v>
      </c>
      <c r="AN51" s="611">
        <v>0</v>
      </c>
      <c r="AO51" s="611">
        <v>0</v>
      </c>
      <c r="AP51" s="611">
        <v>0</v>
      </c>
      <c r="BQ51" s="30" t="s">
        <v>280</v>
      </c>
      <c r="BR51" s="250"/>
      <c r="BS51" s="250"/>
      <c r="BT51" s="304"/>
      <c r="BU51" s="611">
        <v>0</v>
      </c>
      <c r="BV51" s="611">
        <v>0</v>
      </c>
      <c r="BW51" s="611">
        <v>0</v>
      </c>
      <c r="BX51" s="611">
        <v>0</v>
      </c>
      <c r="BY51" s="611">
        <f t="shared" si="23"/>
        <v>0</v>
      </c>
      <c r="CX51" s="244" t="s">
        <v>280</v>
      </c>
      <c r="CZ51" s="611">
        <v>0</v>
      </c>
      <c r="DD51" s="250"/>
      <c r="DJ51" s="320"/>
      <c r="DK51" s="320"/>
      <c r="DL51" s="320"/>
    </row>
    <row r="52" spans="1:129">
      <c r="A52" s="778" t="str">
        <f>Historico!A52</f>
        <v>C.H. Huasahuasi I</v>
      </c>
      <c r="B52" s="16">
        <f>+Historico!N52</f>
        <v>1</v>
      </c>
      <c r="C52" s="13">
        <f t="shared" si="19"/>
        <v>1</v>
      </c>
      <c r="D52" s="76">
        <f t="shared" si="22"/>
        <v>0</v>
      </c>
      <c r="F52" s="13">
        <f>IF(AND(DAY($F$5)=1,MONTH($F$5)=5),$C$8,IF(IF(ResumenIndicadores!$F$9="Ft-1",B52,C52)=0,0,IF(ResumenIndicadores!$F$9="Ft-1",B52,C52)))</f>
        <v>1</v>
      </c>
      <c r="G52" s="105"/>
      <c r="H52" s="105"/>
      <c r="I52" s="105"/>
      <c r="J52" s="105"/>
      <c r="K52" s="3"/>
      <c r="L52" s="3"/>
      <c r="M52" s="30" t="s">
        <v>345</v>
      </c>
      <c r="N52" s="250"/>
      <c r="O52" s="250"/>
      <c r="P52" s="304"/>
      <c r="Q52" s="576">
        <v>0</v>
      </c>
      <c r="R52" s="576">
        <v>0</v>
      </c>
      <c r="S52" s="576">
        <v>0</v>
      </c>
      <c r="T52" s="576">
        <v>0</v>
      </c>
      <c r="X52" s="30" t="s">
        <v>345</v>
      </c>
      <c r="Y52" s="250"/>
      <c r="Z52" s="250"/>
      <c r="AA52" s="304"/>
      <c r="AB52" s="611">
        <v>0</v>
      </c>
      <c r="AC52" s="611">
        <v>0</v>
      </c>
      <c r="AD52" s="611">
        <v>0</v>
      </c>
      <c r="AE52" s="611">
        <v>0</v>
      </c>
      <c r="AF52" s="611">
        <f t="shared" ref="AF52:AF54" si="25">BY52</f>
        <v>1</v>
      </c>
      <c r="AI52" s="30" t="s">
        <v>345</v>
      </c>
      <c r="AJ52" s="250"/>
      <c r="AK52" s="250"/>
      <c r="AL52" s="304"/>
      <c r="AM52" s="611">
        <v>0</v>
      </c>
      <c r="AN52" s="611">
        <v>0</v>
      </c>
      <c r="AO52" s="611">
        <v>0</v>
      </c>
      <c r="AP52" s="611">
        <v>0</v>
      </c>
      <c r="BQ52" s="30" t="s">
        <v>345</v>
      </c>
      <c r="BR52" s="250"/>
      <c r="BS52" s="250"/>
      <c r="BT52" s="304"/>
      <c r="BU52" s="611">
        <v>0</v>
      </c>
      <c r="BV52" s="611">
        <v>0</v>
      </c>
      <c r="BW52" s="611">
        <v>0</v>
      </c>
      <c r="BX52" s="611">
        <v>0</v>
      </c>
      <c r="BY52" s="611">
        <f t="shared" si="23"/>
        <v>1</v>
      </c>
      <c r="CX52" s="244" t="s">
        <v>345</v>
      </c>
      <c r="CZ52" s="611">
        <v>1</v>
      </c>
      <c r="DA52" s="250"/>
      <c r="DB52" s="250"/>
      <c r="DC52" s="321"/>
      <c r="DD52" s="250"/>
      <c r="DE52" s="250"/>
      <c r="DF52" s="250"/>
      <c r="DG52" s="250"/>
      <c r="DH52" s="250"/>
      <c r="DI52" s="250"/>
      <c r="DJ52" s="320"/>
      <c r="DK52" s="320"/>
      <c r="DL52" s="320"/>
    </row>
    <row r="53" spans="1:129">
      <c r="A53" s="778" t="str">
        <f>Historico!A53</f>
        <v>C.H. Huasahuasi II</v>
      </c>
      <c r="B53" s="16">
        <f>+Historico!N53</f>
        <v>1</v>
      </c>
      <c r="C53" s="13">
        <f t="shared" si="19"/>
        <v>1</v>
      </c>
      <c r="D53" s="76">
        <f t="shared" si="22"/>
        <v>0</v>
      </c>
      <c r="F53" s="13">
        <f>IF(AND(DAY($F$5)=1,MONTH($F$5)=5),$C$8,IF(IF(ResumenIndicadores!$F$9="Ft-1",B53,C53)=0,0,IF(ResumenIndicadores!$F$9="Ft-1",B53,C53)))</f>
        <v>1</v>
      </c>
      <c r="G53" s="105"/>
      <c r="H53" s="105"/>
      <c r="I53" s="105"/>
      <c r="J53" s="105"/>
      <c r="K53" s="3"/>
      <c r="L53" s="3"/>
      <c r="M53" s="30" t="s">
        <v>346</v>
      </c>
      <c r="N53" s="250"/>
      <c r="O53" s="250"/>
      <c r="P53" s="304"/>
      <c r="Q53" s="576">
        <v>0</v>
      </c>
      <c r="R53" s="576">
        <v>0</v>
      </c>
      <c r="S53" s="576">
        <v>0</v>
      </c>
      <c r="T53" s="576">
        <v>0</v>
      </c>
      <c r="X53" s="30" t="s">
        <v>346</v>
      </c>
      <c r="Y53" s="250"/>
      <c r="Z53" s="250"/>
      <c r="AA53" s="304"/>
      <c r="AB53" s="611">
        <v>0</v>
      </c>
      <c r="AC53" s="611">
        <v>0</v>
      </c>
      <c r="AD53" s="611">
        <v>0</v>
      </c>
      <c r="AE53" s="611">
        <v>0</v>
      </c>
      <c r="AF53" s="611">
        <f t="shared" si="25"/>
        <v>1</v>
      </c>
      <c r="AI53" s="30" t="s">
        <v>346</v>
      </c>
      <c r="AJ53" s="250"/>
      <c r="AK53" s="250"/>
      <c r="AL53" s="304"/>
      <c r="AM53" s="611">
        <v>0</v>
      </c>
      <c r="AN53" s="611">
        <v>0</v>
      </c>
      <c r="AO53" s="611">
        <v>0</v>
      </c>
      <c r="AP53" s="611">
        <v>0</v>
      </c>
      <c r="BQ53" s="30" t="s">
        <v>346</v>
      </c>
      <c r="BR53" s="250"/>
      <c r="BS53" s="250"/>
      <c r="BT53" s="304"/>
      <c r="BU53" s="611">
        <v>0</v>
      </c>
      <c r="BV53" s="611">
        <v>0</v>
      </c>
      <c r="BW53" s="611">
        <v>0</v>
      </c>
      <c r="BX53" s="611">
        <v>0</v>
      </c>
      <c r="BY53" s="611">
        <f t="shared" si="23"/>
        <v>1</v>
      </c>
      <c r="CX53" s="244" t="s">
        <v>346</v>
      </c>
      <c r="CZ53" s="611">
        <v>1</v>
      </c>
      <c r="DA53" s="250"/>
      <c r="DB53" s="250"/>
      <c r="DC53" s="321"/>
      <c r="DD53" s="250"/>
      <c r="DE53" s="250"/>
      <c r="DF53" s="250"/>
      <c r="DG53" s="250"/>
      <c r="DH53" s="250"/>
      <c r="DI53" s="250"/>
      <c r="DJ53" s="320"/>
      <c r="DK53" s="320"/>
      <c r="DL53" s="320"/>
    </row>
    <row r="54" spans="1:129">
      <c r="A54" s="778" t="str">
        <f>Historico!A54</f>
        <v>C.H. Nuevo Imperial</v>
      </c>
      <c r="B54" s="16">
        <f>+Historico!N54</f>
        <v>0.33329999999999999</v>
      </c>
      <c r="C54" s="13">
        <f t="shared" si="19"/>
        <v>0.33329999999999999</v>
      </c>
      <c r="D54" s="76">
        <f t="shared" si="22"/>
        <v>0</v>
      </c>
      <c r="F54" s="13">
        <f>IF(AND(DAY($F$5)=1,MONTH($F$5)=5),$C$8,IF(IF(ResumenIndicadores!$F$9="Ft-1",B54,C54)=0,0,IF(ResumenIndicadores!$F$9="Ft-1",B54,C54)))</f>
        <v>0.33329999999999999</v>
      </c>
      <c r="G54" s="105"/>
      <c r="H54" s="105"/>
      <c r="I54" s="105"/>
      <c r="J54" s="105"/>
      <c r="K54" s="3"/>
      <c r="L54" s="3"/>
      <c r="M54" s="49" t="s">
        <v>347</v>
      </c>
      <c r="N54" s="268"/>
      <c r="O54" s="268"/>
      <c r="P54" s="269"/>
      <c r="Q54" s="577">
        <v>0</v>
      </c>
      <c r="R54" s="577">
        <v>0</v>
      </c>
      <c r="S54" s="577">
        <v>0</v>
      </c>
      <c r="T54" s="577">
        <v>0</v>
      </c>
      <c r="X54" s="49" t="s">
        <v>347</v>
      </c>
      <c r="Y54" s="268"/>
      <c r="Z54" s="268"/>
      <c r="AA54" s="269"/>
      <c r="AB54" s="612">
        <v>0</v>
      </c>
      <c r="AC54" s="612">
        <v>0</v>
      </c>
      <c r="AD54" s="612">
        <v>0</v>
      </c>
      <c r="AE54" s="612">
        <v>0</v>
      </c>
      <c r="AF54" s="611">
        <f t="shared" si="25"/>
        <v>0.33329999999999999</v>
      </c>
      <c r="AI54" s="49" t="s">
        <v>347</v>
      </c>
      <c r="AJ54" s="268"/>
      <c r="AK54" s="268"/>
      <c r="AL54" s="269"/>
      <c r="AM54" s="612">
        <v>0</v>
      </c>
      <c r="AN54" s="612">
        <v>0</v>
      </c>
      <c r="AO54" s="612">
        <v>0</v>
      </c>
      <c r="AP54" s="612">
        <v>0</v>
      </c>
      <c r="BQ54" s="49" t="s">
        <v>347</v>
      </c>
      <c r="BR54" s="268"/>
      <c r="BS54" s="268"/>
      <c r="BT54" s="269"/>
      <c r="BU54" s="612">
        <v>0</v>
      </c>
      <c r="BV54" s="612">
        <v>0</v>
      </c>
      <c r="BW54" s="612">
        <v>0</v>
      </c>
      <c r="BX54" s="612">
        <v>0</v>
      </c>
      <c r="BY54" s="612">
        <f t="shared" si="23"/>
        <v>0.33329999999999999</v>
      </c>
      <c r="CX54" s="318" t="s">
        <v>347</v>
      </c>
      <c r="CY54" s="268"/>
      <c r="CZ54" s="612">
        <v>0.33329999999999999</v>
      </c>
      <c r="DA54" s="250"/>
      <c r="DB54" s="250"/>
      <c r="DC54" s="321"/>
      <c r="DD54" s="250"/>
      <c r="DE54" s="250"/>
      <c r="DF54" s="250"/>
      <c r="DG54" s="250"/>
      <c r="DH54" s="250"/>
      <c r="DI54" s="250"/>
      <c r="DJ54" s="320"/>
      <c r="DK54" s="320"/>
      <c r="DL54" s="320"/>
    </row>
    <row r="55" spans="1:129">
      <c r="A55" s="781" t="str">
        <f>Historico!A55</f>
        <v>Cargo Unitario por Generación Adicional</v>
      </c>
      <c r="B55" s="16" t="str">
        <f>+Historico!N55</f>
        <v/>
      </c>
      <c r="C55" s="13"/>
      <c r="D55" s="76"/>
      <c r="F55" s="13" t="str">
        <f>IF(AND(DAY($F$5)=1,MONTH($F$5)=5),$C$8,IF(IF(ResumenIndicadores!$F$9="Ft-1",B55,C55)=0,"",IF(ResumenIndicadores!$F$9="Ft-1",B55,C55)))</f>
        <v/>
      </c>
      <c r="G55" s="105"/>
      <c r="H55" s="105"/>
      <c r="I55" s="105"/>
      <c r="J55" s="105"/>
      <c r="K55" s="3"/>
      <c r="L55" s="3"/>
      <c r="M55" s="597" t="s">
        <v>350</v>
      </c>
      <c r="N55" s="278"/>
      <c r="O55" s="278"/>
      <c r="P55" s="279"/>
      <c r="Q55" s="578"/>
      <c r="R55" s="578"/>
      <c r="S55" s="578"/>
      <c r="T55" s="578"/>
      <c r="V55" s="250"/>
      <c r="W55" s="250"/>
      <c r="X55" s="597" t="s">
        <v>350</v>
      </c>
      <c r="Y55" s="278"/>
      <c r="Z55" s="278"/>
      <c r="AA55" s="279"/>
      <c r="AB55" s="117"/>
      <c r="AC55" s="117"/>
      <c r="AD55" s="117"/>
      <c r="AE55" s="117"/>
      <c r="AF55" s="117"/>
      <c r="AG55" s="252"/>
      <c r="AH55" s="250"/>
      <c r="AI55" s="597" t="s">
        <v>350</v>
      </c>
      <c r="AJ55" s="278"/>
      <c r="AK55" s="278"/>
      <c r="AL55" s="279"/>
      <c r="AM55" s="117"/>
      <c r="AN55" s="117"/>
      <c r="AO55" s="117"/>
      <c r="AP55" s="117"/>
      <c r="AR55" s="252"/>
      <c r="AS55" s="252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597" t="s">
        <v>350</v>
      </c>
      <c r="BR55" s="278"/>
      <c r="BS55" s="278"/>
      <c r="BT55" s="279"/>
      <c r="BU55" s="117"/>
      <c r="BV55" s="117"/>
      <c r="BW55" s="117"/>
      <c r="BX55" s="117"/>
      <c r="BY55" s="117"/>
      <c r="BZ55" s="252"/>
      <c r="CA55" s="252"/>
      <c r="CB55" s="250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0"/>
      <c r="CN55" s="250"/>
      <c r="CO55" s="250"/>
      <c r="CP55" s="250"/>
      <c r="CQ55" s="250"/>
      <c r="CR55" s="250"/>
      <c r="CS55" s="250"/>
      <c r="CT55" s="250"/>
      <c r="CU55" s="250"/>
      <c r="CV55" s="250"/>
      <c r="CW55" s="250"/>
      <c r="CX55" s="657" t="s">
        <v>350</v>
      </c>
      <c r="CY55" s="278"/>
      <c r="CZ55" s="117"/>
      <c r="DA55" s="250"/>
      <c r="DB55" s="250"/>
      <c r="DC55" s="321"/>
      <c r="DD55" s="250"/>
      <c r="DE55" s="250"/>
      <c r="DF55" s="250"/>
      <c r="DG55" s="250"/>
      <c r="DH55" s="250"/>
      <c r="DI55" s="250"/>
      <c r="DJ55" s="320"/>
      <c r="DK55" s="320"/>
      <c r="DL55" s="320"/>
      <c r="DY55" s="266"/>
    </row>
    <row r="56" spans="1:129">
      <c r="A56" s="778" t="str">
        <f>Historico!A56</f>
        <v>Usuarios Regulados</v>
      </c>
      <c r="B56" s="16">
        <f>+Historico!N56</f>
        <v>0.98619999999999997</v>
      </c>
      <c r="C56" s="13">
        <f t="shared" si="19"/>
        <v>0.98619999999999997</v>
      </c>
      <c r="D56" s="76">
        <f t="shared" si="22"/>
        <v>0</v>
      </c>
      <c r="F56" s="13">
        <f>IF(AND(DAY($F$5)=1,MONTH($F$5)=5),$C$8,IF(IF(ResumenIndicadores!$F$9="Ft-1",B56,C56)=0,0,IF(ResumenIndicadores!$F$9="Ft-1",B56,C56)))</f>
        <v>0.98619999999999997</v>
      </c>
      <c r="G56" s="105"/>
      <c r="H56" s="105"/>
      <c r="I56" s="105"/>
      <c r="J56" s="105"/>
      <c r="K56" s="3"/>
      <c r="L56" s="3"/>
      <c r="M56" s="596" t="s">
        <v>190</v>
      </c>
      <c r="N56" s="278"/>
      <c r="O56" s="278"/>
      <c r="P56" s="279"/>
      <c r="Q56" s="575">
        <v>0</v>
      </c>
      <c r="R56" s="575">
        <v>0</v>
      </c>
      <c r="S56" s="575">
        <v>0</v>
      </c>
      <c r="T56" s="575">
        <v>0</v>
      </c>
      <c r="V56" s="250"/>
      <c r="W56" s="250"/>
      <c r="X56" s="596" t="s">
        <v>190</v>
      </c>
      <c r="Y56" s="278"/>
      <c r="Z56" s="278"/>
      <c r="AA56" s="279"/>
      <c r="AB56" s="610">
        <v>0</v>
      </c>
      <c r="AC56" s="610">
        <v>0</v>
      </c>
      <c r="AD56" s="610">
        <v>0</v>
      </c>
      <c r="AE56" s="610">
        <v>0</v>
      </c>
      <c r="AF56" s="611">
        <f t="shared" ref="AF56" si="26">BY56</f>
        <v>0.98619999999999997</v>
      </c>
      <c r="AG56" s="252"/>
      <c r="AH56" s="250"/>
      <c r="AI56" s="596" t="s">
        <v>190</v>
      </c>
      <c r="AJ56" s="278"/>
      <c r="AK56" s="278"/>
      <c r="AL56" s="279"/>
      <c r="AM56" s="610">
        <v>0</v>
      </c>
      <c r="AN56" s="610">
        <v>0</v>
      </c>
      <c r="AO56" s="610">
        <v>0</v>
      </c>
      <c r="AP56" s="610">
        <v>0</v>
      </c>
      <c r="AR56" s="252"/>
      <c r="AS56" s="252"/>
      <c r="AT56" s="250"/>
      <c r="AU56" s="250"/>
      <c r="AV56" s="250"/>
      <c r="AW56" s="250"/>
      <c r="AX56" s="250"/>
      <c r="AY56" s="250"/>
      <c r="AZ56" s="250"/>
      <c r="BA56" s="250"/>
      <c r="BB56" s="250"/>
      <c r="BC56" s="250"/>
      <c r="BD56" s="250"/>
      <c r="BE56" s="250"/>
      <c r="BF56" s="250"/>
      <c r="BG56" s="250"/>
      <c r="BH56" s="250"/>
      <c r="BI56" s="250"/>
      <c r="BJ56" s="250"/>
      <c r="BK56" s="250"/>
      <c r="BL56" s="250"/>
      <c r="BM56" s="250"/>
      <c r="BN56" s="250"/>
      <c r="BO56" s="250"/>
      <c r="BP56" s="250"/>
      <c r="BQ56" s="596" t="s">
        <v>190</v>
      </c>
      <c r="BR56" s="278"/>
      <c r="BS56" s="278"/>
      <c r="BT56" s="279"/>
      <c r="BU56" s="610">
        <v>0</v>
      </c>
      <c r="BV56" s="610">
        <v>0</v>
      </c>
      <c r="BW56" s="610">
        <v>0</v>
      </c>
      <c r="BX56" s="610">
        <v>0</v>
      </c>
      <c r="BY56" s="610">
        <f>CZ56</f>
        <v>0.98619999999999997</v>
      </c>
      <c r="BZ56" s="252"/>
      <c r="CA56" s="252"/>
      <c r="CB56" s="250"/>
      <c r="CC56" s="250"/>
      <c r="CD56" s="250"/>
      <c r="CE56" s="250"/>
      <c r="CF56" s="250"/>
      <c r="CG56" s="250"/>
      <c r="CH56" s="250"/>
      <c r="CI56" s="250"/>
      <c r="CJ56" s="250"/>
      <c r="CK56" s="250"/>
      <c r="CL56" s="250"/>
      <c r="CM56" s="250"/>
      <c r="CN56" s="250"/>
      <c r="CO56" s="250"/>
      <c r="CP56" s="250"/>
      <c r="CQ56" s="250"/>
      <c r="CR56" s="250"/>
      <c r="CS56" s="250"/>
      <c r="CT56" s="250"/>
      <c r="CU56" s="250"/>
      <c r="CV56" s="250"/>
      <c r="CW56" s="250"/>
      <c r="CX56" s="314" t="s">
        <v>190</v>
      </c>
      <c r="CY56" s="278"/>
      <c r="CZ56" s="610">
        <v>0.98619999999999997</v>
      </c>
      <c r="DA56" s="250"/>
      <c r="DB56" s="250"/>
      <c r="DC56" s="321"/>
      <c r="DD56" s="250"/>
      <c r="DE56" s="250"/>
      <c r="DF56" s="250"/>
      <c r="DG56" s="250"/>
      <c r="DH56" s="250"/>
      <c r="DI56" s="250"/>
      <c r="DJ56" s="320"/>
      <c r="DK56" s="320"/>
      <c r="DL56" s="320"/>
    </row>
    <row r="57" spans="1:129">
      <c r="A57" s="781" t="str">
        <f>Historico!A57</f>
        <v>Cargo por Garantía (SGT)</v>
      </c>
      <c r="B57" s="16" t="str">
        <f>+Historico!N57</f>
        <v/>
      </c>
      <c r="C57" s="13"/>
      <c r="D57" s="76"/>
      <c r="F57" s="13" t="str">
        <f>IF(AND(DAY($F$5)=1,MONTH($F$5)=5),$C$8,IF(IF(ResumenIndicadores!$F$9="Ft-1",B57,C57)=0,"",IF(ResumenIndicadores!$F$9="Ft-1",B57,C57)))</f>
        <v/>
      </c>
      <c r="G57" s="105"/>
      <c r="H57" s="105"/>
      <c r="I57" s="105"/>
      <c r="J57" s="105"/>
      <c r="K57" s="3"/>
      <c r="L57" s="3"/>
      <c r="M57" s="597" t="s">
        <v>396</v>
      </c>
      <c r="N57" s="278"/>
      <c r="O57" s="278"/>
      <c r="P57" s="279"/>
      <c r="Q57" s="578"/>
      <c r="R57" s="578"/>
      <c r="S57" s="578"/>
      <c r="T57" s="578"/>
      <c r="X57" s="597" t="s">
        <v>396</v>
      </c>
      <c r="Y57" s="278"/>
      <c r="Z57" s="278"/>
      <c r="AA57" s="279"/>
      <c r="AB57" s="117"/>
      <c r="AC57" s="117"/>
      <c r="AD57" s="117"/>
      <c r="AE57" s="117"/>
      <c r="AF57" s="117"/>
      <c r="AI57" s="597" t="s">
        <v>396</v>
      </c>
      <c r="AJ57" s="278"/>
      <c r="AK57" s="278"/>
      <c r="AL57" s="279"/>
      <c r="AM57" s="117"/>
      <c r="AN57" s="117"/>
      <c r="AO57" s="117"/>
      <c r="AP57" s="117"/>
      <c r="BQ57" s="597" t="s">
        <v>396</v>
      </c>
      <c r="BR57" s="278"/>
      <c r="BS57" s="278"/>
      <c r="BT57" s="279"/>
      <c r="BU57" s="117"/>
      <c r="BV57" s="117"/>
      <c r="BW57" s="117"/>
      <c r="BX57" s="117"/>
      <c r="BY57" s="117"/>
      <c r="CX57" s="249"/>
      <c r="CY57" s="308"/>
      <c r="CZ57" s="308"/>
      <c r="DA57" s="250"/>
      <c r="DB57" s="250"/>
      <c r="DC57" s="321"/>
      <c r="DD57" s="250"/>
      <c r="DE57" s="250"/>
      <c r="DF57" s="250"/>
      <c r="DG57" s="250"/>
      <c r="DH57" s="250"/>
      <c r="DI57" s="250"/>
      <c r="DJ57" s="320"/>
      <c r="DK57" s="320"/>
      <c r="DL57" s="320"/>
      <c r="DY57" s="266"/>
    </row>
    <row r="58" spans="1:129">
      <c r="A58" s="778" t="str">
        <f>Historico!A58</f>
        <v>Línea Chilca -Zapallal (Tramos 1 y 2)</v>
      </c>
      <c r="B58" s="16">
        <f>+Historico!N58</f>
        <v>0.97150000000000003</v>
      </c>
      <c r="C58" s="13">
        <f t="shared" si="19"/>
        <v>0.96660000000000001</v>
      </c>
      <c r="D58" s="76">
        <f t="shared" si="22"/>
        <v>-5.043746783324754E-3</v>
      </c>
      <c r="F58" s="13">
        <f>IF(AND(DAY($F$5)=1,MONTH($F$5)=5),$C$8,IF(IF(ResumenIndicadores!$F$9="Ft-1",B58,C58)=0,0,IF(ResumenIndicadores!$F$9="Ft-1",B58,C58)))</f>
        <v>0.97150000000000003</v>
      </c>
      <c r="G58" s="105"/>
      <c r="H58" s="105"/>
      <c r="I58" s="105"/>
      <c r="J58" s="105"/>
      <c r="K58" s="5"/>
      <c r="L58" s="5"/>
      <c r="M58" s="243" t="s">
        <v>348</v>
      </c>
      <c r="N58" s="283"/>
      <c r="O58" s="283"/>
      <c r="P58" s="301"/>
      <c r="Q58" s="579">
        <v>1</v>
      </c>
      <c r="R58" s="579">
        <v>0</v>
      </c>
      <c r="S58" s="579">
        <v>0</v>
      </c>
      <c r="T58" s="579">
        <v>0</v>
      </c>
      <c r="X58" s="243" t="s">
        <v>348</v>
      </c>
      <c r="Y58" s="283"/>
      <c r="Z58" s="283"/>
      <c r="AA58" s="301"/>
      <c r="AB58" s="613">
        <f t="shared" ref="AB58:AB59" si="27">AM58/BU58</f>
        <v>0.96664167916041976</v>
      </c>
      <c r="AC58" s="613">
        <v>0</v>
      </c>
      <c r="AD58" s="613">
        <v>0</v>
      </c>
      <c r="AE58" s="613">
        <v>0</v>
      </c>
      <c r="AF58" s="613">
        <v>0</v>
      </c>
      <c r="AI58" s="243" t="s">
        <v>348</v>
      </c>
      <c r="AJ58" s="283"/>
      <c r="AK58" s="283"/>
      <c r="AL58" s="301"/>
      <c r="AM58" s="613">
        <f>DA28</f>
        <v>2.5790000000000002</v>
      </c>
      <c r="AN58" s="613">
        <v>0</v>
      </c>
      <c r="AO58" s="613">
        <v>0</v>
      </c>
      <c r="AP58" s="613">
        <v>0</v>
      </c>
      <c r="BQ58" s="243" t="s">
        <v>348</v>
      </c>
      <c r="BR58" s="283"/>
      <c r="BS58" s="283"/>
      <c r="BT58" s="301"/>
      <c r="BU58" s="613">
        <f>DA27</f>
        <v>2.6680000000000001</v>
      </c>
      <c r="BV58" s="613">
        <v>0</v>
      </c>
      <c r="BW58" s="613">
        <v>0</v>
      </c>
      <c r="BX58" s="613">
        <v>0</v>
      </c>
      <c r="BY58" s="613">
        <v>0</v>
      </c>
      <c r="CX58" s="249"/>
      <c r="CY58" s="308"/>
      <c r="CZ58" s="308"/>
      <c r="DA58" s="250"/>
      <c r="DB58" s="250"/>
      <c r="DC58" s="321"/>
      <c r="DD58" s="250"/>
      <c r="DE58" s="250"/>
      <c r="DF58" s="250"/>
      <c r="DG58" s="250"/>
      <c r="DH58" s="250"/>
      <c r="DI58" s="250"/>
      <c r="DJ58" s="320"/>
      <c r="DK58" s="320"/>
      <c r="DL58" s="320"/>
    </row>
    <row r="59" spans="1:129">
      <c r="A59" s="778" t="str">
        <f>Historico!A59</f>
        <v xml:space="preserve">Líneas Carhuamayo - Cajamarca 220 kV (Tramos 1, 2, 3 y4) y SVC-Cajamarca </v>
      </c>
      <c r="B59" s="16">
        <f>+Historico!N59</f>
        <v>0.97150000000000003</v>
      </c>
      <c r="C59" s="13">
        <f t="shared" si="19"/>
        <v>0.96660000000000001</v>
      </c>
      <c r="D59" s="76">
        <f t="shared" ref="D59" si="28">+C59/B59-1</f>
        <v>-5.043746783324754E-3</v>
      </c>
      <c r="F59" s="13">
        <f>IF(AND(DAY($F$5)=1,MONTH($F$5)=5),$C$8,IF(IF(ResumenIndicadores!$F$9="Ft-1",B59,C59)=0,0,IF(ResumenIndicadores!$F$9="Ft-1",B59,C59)))</f>
        <v>0.97150000000000003</v>
      </c>
      <c r="G59" s="105"/>
      <c r="H59" s="105"/>
      <c r="I59" s="105"/>
      <c r="J59" s="105"/>
      <c r="K59" s="2"/>
      <c r="L59" s="2"/>
      <c r="M59" s="49" t="s">
        <v>349</v>
      </c>
      <c r="N59" s="268"/>
      <c r="O59" s="268"/>
      <c r="P59" s="269"/>
      <c r="Q59" s="577">
        <v>1</v>
      </c>
      <c r="R59" s="577">
        <v>0</v>
      </c>
      <c r="S59" s="577">
        <v>0</v>
      </c>
      <c r="T59" s="577">
        <v>0</v>
      </c>
      <c r="X59" s="49" t="s">
        <v>349</v>
      </c>
      <c r="Y59" s="268"/>
      <c r="Z59" s="268"/>
      <c r="AA59" s="269"/>
      <c r="AB59" s="612">
        <f t="shared" si="27"/>
        <v>0.96664167916041976</v>
      </c>
      <c r="AC59" s="612">
        <v>0</v>
      </c>
      <c r="AD59" s="612">
        <v>0</v>
      </c>
      <c r="AE59" s="612">
        <v>0</v>
      </c>
      <c r="AF59" s="612">
        <v>0</v>
      </c>
      <c r="AI59" s="49" t="s">
        <v>349</v>
      </c>
      <c r="AJ59" s="268"/>
      <c r="AK59" s="268"/>
      <c r="AL59" s="269"/>
      <c r="AM59" s="612">
        <f>DA28</f>
        <v>2.5790000000000002</v>
      </c>
      <c r="AN59" s="612">
        <v>0</v>
      </c>
      <c r="AO59" s="612">
        <v>0</v>
      </c>
      <c r="AP59" s="612">
        <v>0</v>
      </c>
      <c r="BQ59" s="49" t="s">
        <v>349</v>
      </c>
      <c r="BR59" s="268"/>
      <c r="BS59" s="268"/>
      <c r="BT59" s="269"/>
      <c r="BU59" s="612">
        <f>DA27</f>
        <v>2.6680000000000001</v>
      </c>
      <c r="BV59" s="612">
        <v>0</v>
      </c>
      <c r="BW59" s="612">
        <v>0</v>
      </c>
      <c r="BX59" s="612">
        <v>0</v>
      </c>
      <c r="BY59" s="612">
        <v>0</v>
      </c>
      <c r="CX59" s="249"/>
      <c r="CY59" s="308"/>
      <c r="CZ59" s="308"/>
      <c r="DA59" s="250"/>
      <c r="DB59" s="250"/>
      <c r="DC59" s="321"/>
      <c r="DD59" s="250"/>
      <c r="DE59" s="250"/>
      <c r="DF59" s="250"/>
      <c r="DG59" s="250"/>
      <c r="DH59" s="250"/>
      <c r="DI59" s="250"/>
      <c r="DJ59" s="320"/>
      <c r="DK59" s="320"/>
      <c r="DL59" s="320"/>
    </row>
    <row r="60" spans="1:129">
      <c r="A60" s="778" t="str">
        <f>Historico!A60</f>
        <v/>
      </c>
      <c r="B60" s="16"/>
      <c r="C60" s="13"/>
      <c r="D60" s="76"/>
      <c r="F60" s="13" t="str">
        <f>IF(AND(DAY($F$5)=1,MONTH($F$5)=5),$C$8,IF(IF(ResumenIndicadores!$F$9="Ft-1",B60,C60)=0,"",IF(ResumenIndicadores!$F$9="Ft-1",B60,C60)))</f>
        <v/>
      </c>
      <c r="G60" s="105"/>
      <c r="H60" s="105"/>
      <c r="I60" s="105"/>
      <c r="J60" s="105"/>
      <c r="K60" s="2"/>
      <c r="L60" s="2"/>
      <c r="M60" s="551"/>
      <c r="N60" s="551"/>
      <c r="O60" s="551"/>
      <c r="P60" s="551"/>
      <c r="X60" s="551"/>
      <c r="Y60" s="551"/>
      <c r="Z60" s="551"/>
      <c r="AA60" s="551"/>
      <c r="AI60" s="551"/>
      <c r="AJ60" s="551"/>
      <c r="AK60" s="551"/>
      <c r="AL60" s="551"/>
      <c r="BQ60" s="551"/>
      <c r="BR60" s="551"/>
      <c r="BS60" s="551"/>
      <c r="BT60" s="551"/>
      <c r="CX60" s="249"/>
      <c r="CY60" s="308"/>
      <c r="CZ60" s="308"/>
      <c r="DA60" s="250"/>
      <c r="DB60" s="250"/>
      <c r="DC60" s="321"/>
      <c r="DD60" s="250"/>
      <c r="DE60" s="250"/>
      <c r="DF60" s="250"/>
      <c r="DG60" s="250"/>
      <c r="DH60" s="250"/>
      <c r="DI60" s="250"/>
      <c r="DJ60" s="320"/>
      <c r="DK60" s="320"/>
      <c r="DL60" s="320"/>
      <c r="DY60" s="266"/>
    </row>
    <row r="61" spans="1:129">
      <c r="A61" s="778">
        <f>Historico!A61</f>
        <v>0</v>
      </c>
      <c r="B61" s="16"/>
      <c r="C61" s="13"/>
      <c r="D61" s="76"/>
      <c r="F61" s="13" t="str">
        <f>IF(AND(DAY($F$5)=1,MONTH($F$5)=5),$C$8,IF(IF(ResumenIndicadores!$F$9="Ft-1",B61,C61)=0,"",IF(ResumenIndicadores!$F$9="Ft-1",B61,C61)))</f>
        <v/>
      </c>
      <c r="G61" s="105"/>
      <c r="H61" s="105"/>
      <c r="I61" s="105"/>
      <c r="J61" s="105"/>
      <c r="K61" s="3"/>
      <c r="L61" s="3"/>
      <c r="M61" s="428" t="s">
        <v>420</v>
      </c>
      <c r="Q61" s="231" t="s">
        <v>18</v>
      </c>
      <c r="R61" s="322" t="s">
        <v>17</v>
      </c>
      <c r="S61" s="322" t="s">
        <v>126</v>
      </c>
      <c r="T61" s="322" t="s">
        <v>127</v>
      </c>
      <c r="X61" s="428" t="s">
        <v>423</v>
      </c>
      <c r="AB61" s="552" t="s">
        <v>18</v>
      </c>
      <c r="AC61" s="323" t="s">
        <v>17</v>
      </c>
      <c r="AD61" s="323" t="s">
        <v>126</v>
      </c>
      <c r="AE61" s="323" t="s">
        <v>127</v>
      </c>
      <c r="AF61" s="323"/>
      <c r="AI61" s="428" t="s">
        <v>426</v>
      </c>
      <c r="AM61" s="552" t="s">
        <v>18</v>
      </c>
      <c r="AN61" s="323" t="s">
        <v>17</v>
      </c>
      <c r="AO61" s="323" t="s">
        <v>126</v>
      </c>
      <c r="AP61" s="323" t="s">
        <v>127</v>
      </c>
      <c r="BQ61" s="428" t="s">
        <v>429</v>
      </c>
      <c r="BU61" s="552" t="s">
        <v>18</v>
      </c>
      <c r="BV61" s="323" t="s">
        <v>17</v>
      </c>
      <c r="BW61" s="323" t="s">
        <v>126</v>
      </c>
      <c r="BX61" s="323" t="s">
        <v>127</v>
      </c>
      <c r="CX61" s="428" t="s">
        <v>430</v>
      </c>
      <c r="CY61" s="308"/>
      <c r="CZ61" s="308"/>
      <c r="DA61" s="250"/>
      <c r="DB61" s="250"/>
      <c r="DC61" s="321"/>
      <c r="DD61" s="250"/>
      <c r="DE61" s="250"/>
      <c r="DF61" s="250"/>
      <c r="DG61" s="250"/>
      <c r="DH61" s="250"/>
      <c r="DI61" s="250"/>
      <c r="DJ61" s="320"/>
      <c r="DK61" s="320"/>
      <c r="DL61" s="320"/>
      <c r="DY61" s="266"/>
    </row>
    <row r="62" spans="1:129">
      <c r="A62" s="774" t="str">
        <f>Historico!A62</f>
        <v>B2. Actualización de Peajes por Áreas de Demanda (Res. N° 184-2009-OS/CD)</v>
      </c>
      <c r="B62" s="23" t="str">
        <f>+Historico!N62</f>
        <v/>
      </c>
      <c r="C62" s="24"/>
      <c r="D62" s="95"/>
      <c r="F62" s="24" t="str">
        <f>IF(IF(ResumenIndicadores!$F$10="Ft-1",B62,C62)=0,"",IF(ResumenIndicadores!$F$10="Ft-1",B62,C62))</f>
        <v/>
      </c>
      <c r="G62" s="105"/>
      <c r="H62" s="105"/>
      <c r="I62" s="105"/>
      <c r="J62" s="105"/>
      <c r="N62" s="250"/>
      <c r="Q62" s="197" t="s">
        <v>2</v>
      </c>
      <c r="R62" s="197" t="s">
        <v>3</v>
      </c>
      <c r="S62" s="197" t="s">
        <v>106</v>
      </c>
      <c r="T62" s="197" t="s">
        <v>66</v>
      </c>
      <c r="Y62" s="250"/>
      <c r="AB62" s="598" t="s">
        <v>2</v>
      </c>
      <c r="AC62" s="598" t="s">
        <v>3</v>
      </c>
      <c r="AD62" s="598" t="s">
        <v>106</v>
      </c>
      <c r="AE62" s="598" t="s">
        <v>66</v>
      </c>
      <c r="AF62" s="598" t="s">
        <v>464</v>
      </c>
      <c r="AJ62" s="250"/>
      <c r="AM62" s="598" t="s">
        <v>2</v>
      </c>
      <c r="AN62" s="598" t="s">
        <v>3</v>
      </c>
      <c r="AO62" s="598" t="s">
        <v>106</v>
      </c>
      <c r="AP62" s="598" t="s">
        <v>66</v>
      </c>
      <c r="BR62" s="250"/>
      <c r="BU62" s="598" t="s">
        <v>2</v>
      </c>
      <c r="BV62" s="598" t="s">
        <v>3</v>
      </c>
      <c r="BW62" s="598" t="s">
        <v>106</v>
      </c>
      <c r="BX62" s="598" t="s">
        <v>66</v>
      </c>
      <c r="CY62" s="260" t="s">
        <v>10</v>
      </c>
      <c r="CZ62" s="261" t="s">
        <v>0</v>
      </c>
      <c r="DA62" s="261" t="s">
        <v>356</v>
      </c>
      <c r="DB62" s="281" t="s">
        <v>119</v>
      </c>
      <c r="DC62" s="281" t="s">
        <v>20</v>
      </c>
      <c r="DD62" s="250"/>
      <c r="DE62" s="250"/>
      <c r="DF62" s="250"/>
      <c r="DG62" s="250"/>
      <c r="DH62" s="250"/>
      <c r="DI62" s="250"/>
      <c r="DJ62" s="320"/>
      <c r="DK62" s="320"/>
      <c r="DL62" s="320"/>
      <c r="DY62" s="266"/>
    </row>
    <row r="63" spans="1:129">
      <c r="A63" s="778" t="str">
        <f>Historico!A63</f>
        <v>Área de Demanda 1</v>
      </c>
      <c r="B63" s="20">
        <f>+Historico!N63</f>
        <v>1.0378000000000001</v>
      </c>
      <c r="C63" s="13">
        <f t="shared" ref="C63:C82" si="29">ROUND(Q63*AB63+R63*AC63+S63*AD63+T63*AE63,4)</f>
        <v>1.0150999999999999</v>
      </c>
      <c r="D63" s="76">
        <f t="shared" ref="D63:D80" si="30">+C63/B63-1</f>
        <v>-2.1873193293505677E-2</v>
      </c>
      <c r="F63" s="13">
        <f>IF(IF(ResumenIndicadores!$F$10="Ft-1",B63,C63)=0,"",IF(ResumenIndicadores!$F$10="Ft-1",B63,C63))</f>
        <v>1.0378000000000001</v>
      </c>
      <c r="G63" s="105"/>
      <c r="H63" s="105"/>
      <c r="I63" s="105"/>
      <c r="J63" s="105"/>
      <c r="M63" s="824" t="s">
        <v>399</v>
      </c>
      <c r="N63" s="825"/>
      <c r="O63" s="825"/>
      <c r="P63" s="197">
        <v>1</v>
      </c>
      <c r="Q63" s="579">
        <v>0.2596</v>
      </c>
      <c r="R63" s="579">
        <v>0.63919999999999999</v>
      </c>
      <c r="S63" s="579">
        <v>3.6499999999999998E-2</v>
      </c>
      <c r="T63" s="579">
        <v>6.4699999999999994E-2</v>
      </c>
      <c r="X63" s="824" t="s">
        <v>399</v>
      </c>
      <c r="Y63" s="825"/>
      <c r="Z63" s="825"/>
      <c r="AA63" s="197">
        <v>1</v>
      </c>
      <c r="AB63" s="613">
        <f t="shared" ref="AB63:AB77" si="31">AM63/BU63</f>
        <v>0.81588105030053781</v>
      </c>
      <c r="AC63" s="613">
        <f t="shared" ref="AC63:AC77" si="32">AN63/BV63</f>
        <v>1.0882213704285129</v>
      </c>
      <c r="AD63" s="613">
        <f t="shared" ref="AD63:AD77" si="33">AO63/BW63</f>
        <v>1.3481692189094348</v>
      </c>
      <c r="AE63" s="613">
        <f t="shared" ref="AE63:AE77" si="34">AP63/BX63</f>
        <v>0.90384931740638252</v>
      </c>
      <c r="AF63" s="613">
        <v>0</v>
      </c>
      <c r="AI63" s="824" t="s">
        <v>399</v>
      </c>
      <c r="AJ63" s="825"/>
      <c r="AK63" s="825"/>
      <c r="AL63" s="197">
        <v>1</v>
      </c>
      <c r="AM63" s="613">
        <f>DA64</f>
        <v>2.5790000000000002</v>
      </c>
      <c r="AN63" s="613">
        <f>CZ64</f>
        <v>208.463032</v>
      </c>
      <c r="AO63" s="613">
        <f>DB64</f>
        <v>358.5916666666667</v>
      </c>
      <c r="AP63" s="613">
        <f>DC64</f>
        <v>2025.2735769230769</v>
      </c>
      <c r="BQ63" s="824" t="s">
        <v>399</v>
      </c>
      <c r="BR63" s="825"/>
      <c r="BS63" s="825"/>
      <c r="BT63" s="197">
        <v>1</v>
      </c>
      <c r="BU63" s="613">
        <f>DA63</f>
        <v>3.161</v>
      </c>
      <c r="BV63" s="613">
        <f>CZ63</f>
        <v>191.563075</v>
      </c>
      <c r="BW63" s="613">
        <f>DB63</f>
        <v>265.98416700000001</v>
      </c>
      <c r="BX63" s="613">
        <f>DC63</f>
        <v>2240.72037</v>
      </c>
      <c r="CX63" s="243" t="s">
        <v>1</v>
      </c>
      <c r="CY63" s="271" t="s">
        <v>174</v>
      </c>
      <c r="CZ63" s="637">
        <v>191.563075</v>
      </c>
      <c r="DA63" s="637">
        <v>3.161</v>
      </c>
      <c r="DB63" s="645">
        <v>265.98416700000001</v>
      </c>
      <c r="DC63" s="645">
        <v>2240.72037</v>
      </c>
      <c r="DD63" s="250"/>
      <c r="DE63" s="250"/>
      <c r="DF63" s="250"/>
      <c r="DG63" s="250"/>
      <c r="DH63" s="250"/>
      <c r="DI63" s="250"/>
      <c r="DJ63" s="320"/>
      <c r="DK63" s="320"/>
      <c r="DL63" s="320"/>
    </row>
    <row r="64" spans="1:129">
      <c r="A64" s="778" t="str">
        <f>Historico!A64</f>
        <v>Área de Demanda 2</v>
      </c>
      <c r="B64" s="20">
        <f>+Historico!N64</f>
        <v>1.0489999999999999</v>
      </c>
      <c r="C64" s="13">
        <f t="shared" si="29"/>
        <v>1.0313000000000001</v>
      </c>
      <c r="D64" s="76">
        <f t="shared" si="30"/>
        <v>-1.6873212583412567E-2</v>
      </c>
      <c r="F64" s="13">
        <f>IF(IF(ResumenIndicadores!$F$10="Ft-1",B64,C64)=0,"",IF(ResumenIndicadores!$F$10="Ft-1",B64,C64))</f>
        <v>1.0489999999999999</v>
      </c>
      <c r="G64" s="105"/>
      <c r="H64" s="105"/>
      <c r="I64" s="105"/>
      <c r="J64" s="105"/>
      <c r="M64" s="826"/>
      <c r="N64" s="827"/>
      <c r="O64" s="827"/>
      <c r="P64" s="197">
        <v>2</v>
      </c>
      <c r="Q64" s="576">
        <v>0.22370000000000001</v>
      </c>
      <c r="R64" s="576">
        <v>0.71460000000000001</v>
      </c>
      <c r="S64" s="576">
        <v>3.4700000000000002E-2</v>
      </c>
      <c r="T64" s="576">
        <v>2.7E-2</v>
      </c>
      <c r="X64" s="826"/>
      <c r="Y64" s="827"/>
      <c r="Z64" s="827"/>
      <c r="AA64" s="197">
        <v>2</v>
      </c>
      <c r="AB64" s="611">
        <f t="shared" si="31"/>
        <v>0.81588105030053781</v>
      </c>
      <c r="AC64" s="611">
        <f t="shared" si="32"/>
        <v>1.0882213704285129</v>
      </c>
      <c r="AD64" s="611">
        <f t="shared" si="33"/>
        <v>1.3481692189094348</v>
      </c>
      <c r="AE64" s="611">
        <f t="shared" si="34"/>
        <v>0.90384931740638252</v>
      </c>
      <c r="AF64" s="611">
        <v>0</v>
      </c>
      <c r="AI64" s="826"/>
      <c r="AJ64" s="827"/>
      <c r="AK64" s="827"/>
      <c r="AL64" s="197">
        <v>2</v>
      </c>
      <c r="AM64" s="611">
        <f>DA64</f>
        <v>2.5790000000000002</v>
      </c>
      <c r="AN64" s="611">
        <f>CZ64</f>
        <v>208.463032</v>
      </c>
      <c r="AO64" s="611">
        <f>DB64</f>
        <v>358.5916666666667</v>
      </c>
      <c r="AP64" s="611">
        <f>DC64</f>
        <v>2025.2735769230769</v>
      </c>
      <c r="BQ64" s="826"/>
      <c r="BR64" s="827"/>
      <c r="BS64" s="827"/>
      <c r="BT64" s="197">
        <v>2</v>
      </c>
      <c r="BU64" s="611">
        <f>DA63</f>
        <v>3.161</v>
      </c>
      <c r="BV64" s="611">
        <f>CZ63</f>
        <v>191.563075</v>
      </c>
      <c r="BW64" s="611">
        <f>DB63</f>
        <v>265.98416700000001</v>
      </c>
      <c r="BX64" s="611">
        <f>DC63</f>
        <v>2240.72037</v>
      </c>
      <c r="CX64" s="49" t="s">
        <v>4</v>
      </c>
      <c r="CY64" s="273" t="s">
        <v>702</v>
      </c>
      <c r="CZ64" s="274">
        <f>+'ALUMINIO-COBRE-TC-IPM'!H8</f>
        <v>208.463032</v>
      </c>
      <c r="DA64" s="274">
        <f>+'ALUMINIO-COBRE-TC-IPM'!G8</f>
        <v>2.5790000000000002</v>
      </c>
      <c r="DB64" s="324">
        <f>+'ALUMINIO-COBRE-TC-IPM'!F8</f>
        <v>358.5916666666667</v>
      </c>
      <c r="DC64" s="324">
        <f>+'ALUMINIO-COBRE-TC-IPM'!E8</f>
        <v>2025.2735769230769</v>
      </c>
      <c r="DD64" s="250"/>
      <c r="DE64" s="250"/>
      <c r="DF64" s="250"/>
      <c r="DG64" s="250"/>
      <c r="DH64" s="250"/>
      <c r="DI64" s="250"/>
      <c r="DJ64" s="320"/>
      <c r="DK64" s="320"/>
      <c r="DL64" s="320"/>
    </row>
    <row r="65" spans="1:116">
      <c r="A65" s="778" t="str">
        <f>Historico!A65</f>
        <v>Área de Demanda 3</v>
      </c>
      <c r="B65" s="20">
        <f>+Historico!N65</f>
        <v>1.0371999999999999</v>
      </c>
      <c r="C65" s="13">
        <f t="shared" si="29"/>
        <v>1.0170999999999999</v>
      </c>
      <c r="D65" s="76">
        <f t="shared" si="30"/>
        <v>-1.9379097570381809E-2</v>
      </c>
      <c r="F65" s="13">
        <f>IF(IF(ResumenIndicadores!$F$10="Ft-1",B65,C65)=0,"",IF(ResumenIndicadores!$F$10="Ft-1",B65,C65))</f>
        <v>1.0371999999999999</v>
      </c>
      <c r="G65" s="105"/>
      <c r="H65" s="105"/>
      <c r="I65" s="105"/>
      <c r="J65" s="105"/>
      <c r="M65" s="826"/>
      <c r="N65" s="827"/>
      <c r="O65" s="827"/>
      <c r="P65" s="197">
        <v>3</v>
      </c>
      <c r="Q65" s="576">
        <v>0.25669999999999998</v>
      </c>
      <c r="R65" s="576">
        <v>0.66539999999999999</v>
      </c>
      <c r="S65" s="576">
        <v>2.9700000000000001E-2</v>
      </c>
      <c r="T65" s="576">
        <v>4.82E-2</v>
      </c>
      <c r="X65" s="826"/>
      <c r="Y65" s="827"/>
      <c r="Z65" s="827"/>
      <c r="AA65" s="197">
        <v>3</v>
      </c>
      <c r="AB65" s="611">
        <f t="shared" si="31"/>
        <v>0.81588105030053781</v>
      </c>
      <c r="AC65" s="611">
        <f t="shared" si="32"/>
        <v>1.0882213704285129</v>
      </c>
      <c r="AD65" s="611">
        <f t="shared" si="33"/>
        <v>1.3481692189094348</v>
      </c>
      <c r="AE65" s="611">
        <f t="shared" si="34"/>
        <v>0.90384931740638252</v>
      </c>
      <c r="AF65" s="611">
        <v>0</v>
      </c>
      <c r="AI65" s="826"/>
      <c r="AJ65" s="827"/>
      <c r="AK65" s="827"/>
      <c r="AL65" s="197">
        <v>3</v>
      </c>
      <c r="AM65" s="611">
        <f>DA64</f>
        <v>2.5790000000000002</v>
      </c>
      <c r="AN65" s="611">
        <f>CZ64</f>
        <v>208.463032</v>
      </c>
      <c r="AO65" s="611">
        <f>DB64</f>
        <v>358.5916666666667</v>
      </c>
      <c r="AP65" s="611">
        <f>DC64</f>
        <v>2025.2735769230769</v>
      </c>
      <c r="BQ65" s="826"/>
      <c r="BR65" s="827"/>
      <c r="BS65" s="827"/>
      <c r="BT65" s="197">
        <v>3</v>
      </c>
      <c r="BU65" s="611">
        <f>DA63</f>
        <v>3.161</v>
      </c>
      <c r="BV65" s="611">
        <f>CZ63</f>
        <v>191.563075</v>
      </c>
      <c r="BW65" s="611">
        <f>DB63</f>
        <v>265.98416700000001</v>
      </c>
      <c r="BX65" s="611">
        <f>DC63</f>
        <v>2240.72037</v>
      </c>
      <c r="CZ65" s="250"/>
      <c r="DA65" s="250"/>
      <c r="DB65" s="250"/>
      <c r="DC65" s="250"/>
      <c r="DD65" s="250"/>
      <c r="DE65" s="250"/>
      <c r="DF65" s="250"/>
      <c r="DG65" s="250"/>
      <c r="DH65" s="250"/>
      <c r="DI65" s="250"/>
      <c r="DJ65" s="320"/>
      <c r="DK65" s="320"/>
      <c r="DL65" s="320"/>
    </row>
    <row r="66" spans="1:116">
      <c r="A66" s="778" t="str">
        <f>Historico!A66</f>
        <v>Área de Demanda 4</v>
      </c>
      <c r="B66" s="20">
        <f>+Historico!N66</f>
        <v>1.0327</v>
      </c>
      <c r="C66" s="13">
        <f t="shared" si="29"/>
        <v>1.0128999999999999</v>
      </c>
      <c r="D66" s="76">
        <f t="shared" si="30"/>
        <v>-1.9173041541590052E-2</v>
      </c>
      <c r="F66" s="13">
        <f>IF(IF(ResumenIndicadores!$F$10="Ft-1",B66,C66)=0,"",IF(ResumenIndicadores!$F$10="Ft-1",B66,C66))</f>
        <v>1.0327</v>
      </c>
      <c r="G66" s="105"/>
      <c r="H66" s="105"/>
      <c r="I66" s="105"/>
      <c r="J66" s="105"/>
      <c r="M66" s="826"/>
      <c r="N66" s="827"/>
      <c r="O66" s="827"/>
      <c r="P66" s="197">
        <v>4</v>
      </c>
      <c r="Q66" s="576">
        <v>0.25269999999999998</v>
      </c>
      <c r="R66" s="576">
        <v>0.67520000000000002</v>
      </c>
      <c r="S66" s="576">
        <v>1.5299999999999999E-2</v>
      </c>
      <c r="T66" s="576">
        <v>5.6800000000000003E-2</v>
      </c>
      <c r="X66" s="826"/>
      <c r="Y66" s="827"/>
      <c r="Z66" s="827"/>
      <c r="AA66" s="197">
        <v>4</v>
      </c>
      <c r="AB66" s="611">
        <f t="shared" si="31"/>
        <v>0.81588105030053781</v>
      </c>
      <c r="AC66" s="611">
        <f t="shared" si="32"/>
        <v>1.0882213704285129</v>
      </c>
      <c r="AD66" s="611">
        <f t="shared" si="33"/>
        <v>1.3481692189094348</v>
      </c>
      <c r="AE66" s="611">
        <f t="shared" si="34"/>
        <v>0.90384931740638252</v>
      </c>
      <c r="AF66" s="611">
        <v>0</v>
      </c>
      <c r="AI66" s="826"/>
      <c r="AJ66" s="827"/>
      <c r="AK66" s="827"/>
      <c r="AL66" s="197">
        <v>4</v>
      </c>
      <c r="AM66" s="611">
        <f>DA64</f>
        <v>2.5790000000000002</v>
      </c>
      <c r="AN66" s="611">
        <f>CZ64</f>
        <v>208.463032</v>
      </c>
      <c r="AO66" s="611">
        <f>DB64</f>
        <v>358.5916666666667</v>
      </c>
      <c r="AP66" s="611">
        <f>DC64</f>
        <v>2025.2735769230769</v>
      </c>
      <c r="BQ66" s="826"/>
      <c r="BR66" s="827"/>
      <c r="BS66" s="827"/>
      <c r="BT66" s="197">
        <v>4</v>
      </c>
      <c r="BU66" s="611">
        <f>DA63</f>
        <v>3.161</v>
      </c>
      <c r="BV66" s="611">
        <f>CZ63</f>
        <v>191.563075</v>
      </c>
      <c r="BW66" s="611">
        <f>DB63</f>
        <v>265.98416700000001</v>
      </c>
      <c r="BX66" s="611">
        <f>DC63</f>
        <v>2240.72037</v>
      </c>
      <c r="CX66" s="249"/>
      <c r="DD66" s="250"/>
      <c r="DE66" s="250"/>
      <c r="DF66" s="250"/>
      <c r="DG66" s="250"/>
      <c r="DH66" s="250"/>
      <c r="DI66" s="250"/>
      <c r="DJ66" s="320"/>
      <c r="DK66" s="320"/>
      <c r="DL66" s="320"/>
    </row>
    <row r="67" spans="1:116">
      <c r="A67" s="778" t="str">
        <f>Historico!A67</f>
        <v>Área de Demanda 5</v>
      </c>
      <c r="B67" s="20">
        <f>+Historico!N67</f>
        <v>1.0196000000000001</v>
      </c>
      <c r="C67" s="13">
        <f t="shared" si="29"/>
        <v>1.0007999999999999</v>
      </c>
      <c r="D67" s="76">
        <f t="shared" si="30"/>
        <v>-1.8438603373872264E-2</v>
      </c>
      <c r="F67" s="13">
        <f>IF(IF(ResumenIndicadores!$F$10="Ft-1",B67,C67)=0,"",IF(ResumenIndicadores!$F$10="Ft-1",B67,C67))</f>
        <v>1.0196000000000001</v>
      </c>
      <c r="G67" s="105"/>
      <c r="H67" s="105"/>
      <c r="I67" s="105"/>
      <c r="J67" s="105"/>
      <c r="M67" s="826"/>
      <c r="N67" s="827"/>
      <c r="O67" s="827"/>
      <c r="P67" s="197">
        <v>5</v>
      </c>
      <c r="Q67" s="576">
        <v>0.32029999999999997</v>
      </c>
      <c r="R67" s="576">
        <v>0.62</v>
      </c>
      <c r="S67" s="576">
        <v>2.4400000000000002E-2</v>
      </c>
      <c r="T67" s="576">
        <v>3.5299999999999998E-2</v>
      </c>
      <c r="X67" s="826"/>
      <c r="Y67" s="827"/>
      <c r="Z67" s="827"/>
      <c r="AA67" s="197">
        <v>5</v>
      </c>
      <c r="AB67" s="611">
        <f t="shared" si="31"/>
        <v>0.81588105030053781</v>
      </c>
      <c r="AC67" s="611">
        <f t="shared" si="32"/>
        <v>1.0882213704285129</v>
      </c>
      <c r="AD67" s="611">
        <f t="shared" si="33"/>
        <v>1.3481692189094348</v>
      </c>
      <c r="AE67" s="611">
        <f t="shared" si="34"/>
        <v>0.90384931740638252</v>
      </c>
      <c r="AF67" s="611">
        <v>0</v>
      </c>
      <c r="AI67" s="826"/>
      <c r="AJ67" s="827"/>
      <c r="AK67" s="827"/>
      <c r="AL67" s="197">
        <v>5</v>
      </c>
      <c r="AM67" s="611">
        <f>DA64</f>
        <v>2.5790000000000002</v>
      </c>
      <c r="AN67" s="611">
        <f>CZ64</f>
        <v>208.463032</v>
      </c>
      <c r="AO67" s="611">
        <f>DB64</f>
        <v>358.5916666666667</v>
      </c>
      <c r="AP67" s="611">
        <f>DC64</f>
        <v>2025.2735769230769</v>
      </c>
      <c r="BQ67" s="826"/>
      <c r="BR67" s="827"/>
      <c r="BS67" s="827"/>
      <c r="BT67" s="197">
        <v>5</v>
      </c>
      <c r="BU67" s="611">
        <f>DA63</f>
        <v>3.161</v>
      </c>
      <c r="BV67" s="611">
        <f>CZ63</f>
        <v>191.563075</v>
      </c>
      <c r="BW67" s="611">
        <f>DB63</f>
        <v>265.98416700000001</v>
      </c>
      <c r="BX67" s="611">
        <f>DC63</f>
        <v>2240.72037</v>
      </c>
      <c r="CX67" s="309"/>
      <c r="DD67" s="250"/>
      <c r="DE67" s="250"/>
      <c r="DF67" s="250"/>
      <c r="DG67" s="250"/>
      <c r="DH67" s="250"/>
      <c r="DI67" s="250"/>
      <c r="DJ67" s="320"/>
      <c r="DK67" s="320"/>
      <c r="DL67" s="320"/>
    </row>
    <row r="68" spans="1:116">
      <c r="A68" s="778" t="str">
        <f>Historico!A68</f>
        <v>Área de Demanda 6</v>
      </c>
      <c r="B68" s="20">
        <f>+Historico!N68</f>
        <v>1.0044</v>
      </c>
      <c r="C68" s="13">
        <f t="shared" si="29"/>
        <v>0.98460000000000003</v>
      </c>
      <c r="D68" s="76">
        <f t="shared" si="30"/>
        <v>-1.9713261648745428E-2</v>
      </c>
      <c r="F68" s="13">
        <f>IF(IF(ResumenIndicadores!$F$10="Ft-1",B68,C68)=0,"",IF(ResumenIndicadores!$F$10="Ft-1",B68,C68))</f>
        <v>1.0044</v>
      </c>
      <c r="G68" s="105"/>
      <c r="H68" s="105"/>
      <c r="I68" s="105"/>
      <c r="J68" s="105"/>
      <c r="M68" s="826"/>
      <c r="N68" s="827"/>
      <c r="O68" s="827"/>
      <c r="P68" s="197">
        <v>6</v>
      </c>
      <c r="Q68" s="576">
        <v>0.41449999999999998</v>
      </c>
      <c r="R68" s="576">
        <v>0.51919999999999999</v>
      </c>
      <c r="S68" s="576">
        <v>4.8399999999999999E-2</v>
      </c>
      <c r="T68" s="576">
        <v>1.7899999999999999E-2</v>
      </c>
      <c r="X68" s="826"/>
      <c r="Y68" s="827"/>
      <c r="Z68" s="827"/>
      <c r="AA68" s="197">
        <v>6</v>
      </c>
      <c r="AB68" s="611">
        <f t="shared" si="31"/>
        <v>0.81588105030053781</v>
      </c>
      <c r="AC68" s="611">
        <f t="shared" si="32"/>
        <v>1.0882213704285129</v>
      </c>
      <c r="AD68" s="611">
        <f t="shared" si="33"/>
        <v>1.3481692189094348</v>
      </c>
      <c r="AE68" s="611">
        <f t="shared" si="34"/>
        <v>0.90384931740638252</v>
      </c>
      <c r="AF68" s="611">
        <v>0</v>
      </c>
      <c r="AI68" s="826"/>
      <c r="AJ68" s="827"/>
      <c r="AK68" s="827"/>
      <c r="AL68" s="197">
        <v>6</v>
      </c>
      <c r="AM68" s="611">
        <f>DA64</f>
        <v>2.5790000000000002</v>
      </c>
      <c r="AN68" s="611">
        <f>CZ64</f>
        <v>208.463032</v>
      </c>
      <c r="AO68" s="611">
        <f>DB64</f>
        <v>358.5916666666667</v>
      </c>
      <c r="AP68" s="611">
        <f>DC64</f>
        <v>2025.2735769230769</v>
      </c>
      <c r="BQ68" s="826"/>
      <c r="BR68" s="827"/>
      <c r="BS68" s="827"/>
      <c r="BT68" s="197">
        <v>6</v>
      </c>
      <c r="BU68" s="611">
        <f>DA63</f>
        <v>3.161</v>
      </c>
      <c r="BV68" s="611">
        <f>CZ63</f>
        <v>191.563075</v>
      </c>
      <c r="BW68" s="611">
        <f>DB63</f>
        <v>265.98416700000001</v>
      </c>
      <c r="BX68" s="611">
        <f>DC63</f>
        <v>2240.72037</v>
      </c>
      <c r="CX68" s="249"/>
      <c r="CY68" s="308"/>
      <c r="CZ68" s="308"/>
      <c r="DA68" s="250"/>
      <c r="DB68" s="250"/>
      <c r="DC68" s="321"/>
      <c r="DD68" s="250"/>
      <c r="DE68" s="250"/>
      <c r="DF68" s="250"/>
      <c r="DG68" s="250"/>
      <c r="DH68" s="250"/>
      <c r="DI68" s="250"/>
      <c r="DJ68" s="320"/>
      <c r="DK68" s="320"/>
      <c r="DL68" s="320"/>
    </row>
    <row r="69" spans="1:116">
      <c r="A69" s="778" t="str">
        <f>Historico!A69</f>
        <v>Área de Demanda 7</v>
      </c>
      <c r="B69" s="20">
        <f>+Historico!N69</f>
        <v>1.0062</v>
      </c>
      <c r="C69" s="13">
        <f t="shared" si="29"/>
        <v>0.9869</v>
      </c>
      <c r="D69" s="76">
        <f t="shared" si="30"/>
        <v>-1.9181077320612139E-2</v>
      </c>
      <c r="F69" s="13">
        <f>IF(IF(ResumenIndicadores!$F$10="Ft-1",B69,C69)=0,"",IF(ResumenIndicadores!$F$10="Ft-1",B69,C69))</f>
        <v>1.0062</v>
      </c>
      <c r="G69" s="105"/>
      <c r="H69" s="105"/>
      <c r="I69" s="105"/>
      <c r="J69" s="105"/>
      <c r="M69" s="826"/>
      <c r="N69" s="827"/>
      <c r="O69" s="827"/>
      <c r="P69" s="197">
        <v>7</v>
      </c>
      <c r="Q69" s="576">
        <v>0.40710000000000002</v>
      </c>
      <c r="R69" s="576">
        <v>0.53059999999999996</v>
      </c>
      <c r="S69" s="576">
        <v>4.7300000000000002E-2</v>
      </c>
      <c r="T69" s="576">
        <v>1.4999999999999999E-2</v>
      </c>
      <c r="X69" s="826"/>
      <c r="Y69" s="827"/>
      <c r="Z69" s="827"/>
      <c r="AA69" s="197">
        <v>7</v>
      </c>
      <c r="AB69" s="611">
        <f t="shared" si="31"/>
        <v>0.81588105030053781</v>
      </c>
      <c r="AC69" s="611">
        <f t="shared" si="32"/>
        <v>1.0882213704285129</v>
      </c>
      <c r="AD69" s="611">
        <f t="shared" si="33"/>
        <v>1.3481692189094348</v>
      </c>
      <c r="AE69" s="611">
        <f t="shared" si="34"/>
        <v>0.90384931740638252</v>
      </c>
      <c r="AF69" s="611">
        <v>0</v>
      </c>
      <c r="AI69" s="826"/>
      <c r="AJ69" s="827"/>
      <c r="AK69" s="827"/>
      <c r="AL69" s="197">
        <v>7</v>
      </c>
      <c r="AM69" s="611">
        <f>DA64</f>
        <v>2.5790000000000002</v>
      </c>
      <c r="AN69" s="611">
        <f>CZ64</f>
        <v>208.463032</v>
      </c>
      <c r="AO69" s="611">
        <f>DB64</f>
        <v>358.5916666666667</v>
      </c>
      <c r="AP69" s="611">
        <f>DC64</f>
        <v>2025.2735769230769</v>
      </c>
      <c r="BQ69" s="826"/>
      <c r="BR69" s="827"/>
      <c r="BS69" s="827"/>
      <c r="BT69" s="197">
        <v>7</v>
      </c>
      <c r="BU69" s="611">
        <f>DA63</f>
        <v>3.161</v>
      </c>
      <c r="BV69" s="611">
        <f>CZ63</f>
        <v>191.563075</v>
      </c>
      <c r="BW69" s="611">
        <f>DB63</f>
        <v>265.98416700000001</v>
      </c>
      <c r="BX69" s="611">
        <f>DC63</f>
        <v>2240.72037</v>
      </c>
      <c r="CX69" s="249"/>
      <c r="CY69" s="308"/>
      <c r="CZ69" s="308"/>
      <c r="DA69" s="250"/>
      <c r="DB69" s="250"/>
      <c r="DC69" s="321"/>
      <c r="DD69" s="250"/>
      <c r="DE69" s="250"/>
      <c r="DF69" s="250"/>
      <c r="DG69" s="250"/>
      <c r="DH69" s="250"/>
      <c r="DI69" s="250"/>
      <c r="DJ69" s="320"/>
      <c r="DK69" s="320"/>
      <c r="DL69" s="320"/>
    </row>
    <row r="70" spans="1:116">
      <c r="A70" s="778" t="str">
        <f>Historico!A70</f>
        <v>Área de Demanda 8</v>
      </c>
      <c r="B70" s="20">
        <f>+Historico!N70</f>
        <v>1.0335000000000001</v>
      </c>
      <c r="C70" s="13">
        <f t="shared" si="29"/>
        <v>1.0105</v>
      </c>
      <c r="D70" s="76">
        <f t="shared" si="30"/>
        <v>-2.2254475084663938E-2</v>
      </c>
      <c r="F70" s="13">
        <f>IF(IF(ResumenIndicadores!$F$10="Ft-1",B70,C70)=0,"",IF(ResumenIndicadores!$F$10="Ft-1",B70,C70))</f>
        <v>1.0335000000000001</v>
      </c>
      <c r="G70" s="105"/>
      <c r="H70" s="105"/>
      <c r="I70" s="105"/>
      <c r="J70" s="105"/>
      <c r="M70" s="826"/>
      <c r="N70" s="827"/>
      <c r="O70" s="827"/>
      <c r="P70" s="197">
        <v>8</v>
      </c>
      <c r="Q70" s="576">
        <v>0.26939999999999997</v>
      </c>
      <c r="R70" s="576">
        <v>0.62909999999999999</v>
      </c>
      <c r="S70" s="576">
        <v>3.2300000000000002E-2</v>
      </c>
      <c r="T70" s="576">
        <v>6.9199999999999998E-2</v>
      </c>
      <c r="X70" s="826"/>
      <c r="Y70" s="827"/>
      <c r="Z70" s="827"/>
      <c r="AA70" s="197">
        <v>8</v>
      </c>
      <c r="AB70" s="611">
        <f t="shared" si="31"/>
        <v>0.81588105030053781</v>
      </c>
      <c r="AC70" s="611">
        <f t="shared" si="32"/>
        <v>1.0882213704285129</v>
      </c>
      <c r="AD70" s="611">
        <f t="shared" si="33"/>
        <v>1.3481692189094348</v>
      </c>
      <c r="AE70" s="611">
        <f t="shared" si="34"/>
        <v>0.90384931740638252</v>
      </c>
      <c r="AF70" s="611">
        <v>0</v>
      </c>
      <c r="AI70" s="826"/>
      <c r="AJ70" s="827"/>
      <c r="AK70" s="827"/>
      <c r="AL70" s="197">
        <v>8</v>
      </c>
      <c r="AM70" s="611">
        <f>DA64</f>
        <v>2.5790000000000002</v>
      </c>
      <c r="AN70" s="611">
        <f>CZ64</f>
        <v>208.463032</v>
      </c>
      <c r="AO70" s="611">
        <f>DB64</f>
        <v>358.5916666666667</v>
      </c>
      <c r="AP70" s="611">
        <f>DC64</f>
        <v>2025.2735769230769</v>
      </c>
      <c r="BQ70" s="826"/>
      <c r="BR70" s="827"/>
      <c r="BS70" s="827"/>
      <c r="BT70" s="197">
        <v>8</v>
      </c>
      <c r="BU70" s="611">
        <f>DA63</f>
        <v>3.161</v>
      </c>
      <c r="BV70" s="611">
        <f>CZ63</f>
        <v>191.563075</v>
      </c>
      <c r="BW70" s="611">
        <f>DB63</f>
        <v>265.98416700000001</v>
      </c>
      <c r="BX70" s="611">
        <f>DC63</f>
        <v>2240.72037</v>
      </c>
      <c r="CX70" s="249"/>
      <c r="CY70" s="308"/>
      <c r="CZ70" s="308"/>
      <c r="DA70" s="250"/>
      <c r="DB70" s="250"/>
      <c r="DC70" s="321"/>
      <c r="DD70" s="250"/>
      <c r="DE70" s="250"/>
      <c r="DF70" s="250"/>
      <c r="DG70" s="250"/>
      <c r="DH70" s="250"/>
      <c r="DI70" s="250"/>
      <c r="DJ70" s="320"/>
      <c r="DK70" s="320"/>
      <c r="DL70" s="320"/>
    </row>
    <row r="71" spans="1:116">
      <c r="A71" s="778" t="str">
        <f>Historico!A71</f>
        <v>Área de Demanda 9</v>
      </c>
      <c r="B71" s="20">
        <f>+Historico!N71</f>
        <v>1.0275000000000001</v>
      </c>
      <c r="C71" s="13">
        <f t="shared" si="29"/>
        <v>1.0073000000000001</v>
      </c>
      <c r="D71" s="76">
        <f t="shared" si="30"/>
        <v>-1.9659367396593685E-2</v>
      </c>
      <c r="F71" s="13">
        <f>IF(IF(ResumenIndicadores!$F$10="Ft-1",B71,C71)=0,"",IF(ResumenIndicadores!$F$10="Ft-1",B71,C71))</f>
        <v>1.0275000000000001</v>
      </c>
      <c r="G71" s="105"/>
      <c r="H71" s="105"/>
      <c r="I71" s="105"/>
      <c r="J71" s="105"/>
      <c r="M71" s="826"/>
      <c r="N71" s="827"/>
      <c r="O71" s="827"/>
      <c r="P71" s="197">
        <v>9</v>
      </c>
      <c r="Q71" s="576">
        <v>0.30159999999999998</v>
      </c>
      <c r="R71" s="576">
        <v>0.62260000000000004</v>
      </c>
      <c r="S71" s="576">
        <v>3.4299999999999997E-2</v>
      </c>
      <c r="T71" s="576">
        <v>4.1500000000000002E-2</v>
      </c>
      <c r="X71" s="826"/>
      <c r="Y71" s="827"/>
      <c r="Z71" s="827"/>
      <c r="AA71" s="197">
        <v>9</v>
      </c>
      <c r="AB71" s="611">
        <f t="shared" si="31"/>
        <v>0.81588105030053781</v>
      </c>
      <c r="AC71" s="611">
        <f t="shared" si="32"/>
        <v>1.0882213704285129</v>
      </c>
      <c r="AD71" s="611">
        <f t="shared" si="33"/>
        <v>1.3481692189094348</v>
      </c>
      <c r="AE71" s="611">
        <f t="shared" si="34"/>
        <v>0.90384931740638252</v>
      </c>
      <c r="AF71" s="611">
        <v>0</v>
      </c>
      <c r="AI71" s="826"/>
      <c r="AJ71" s="827"/>
      <c r="AK71" s="827"/>
      <c r="AL71" s="197">
        <v>9</v>
      </c>
      <c r="AM71" s="611">
        <f>DA64</f>
        <v>2.5790000000000002</v>
      </c>
      <c r="AN71" s="611">
        <f>CZ64</f>
        <v>208.463032</v>
      </c>
      <c r="AO71" s="611">
        <f>DB64</f>
        <v>358.5916666666667</v>
      </c>
      <c r="AP71" s="611">
        <f>DC64</f>
        <v>2025.2735769230769</v>
      </c>
      <c r="BQ71" s="826"/>
      <c r="BR71" s="827"/>
      <c r="BS71" s="827"/>
      <c r="BT71" s="197">
        <v>9</v>
      </c>
      <c r="BU71" s="611">
        <f>DA63</f>
        <v>3.161</v>
      </c>
      <c r="BV71" s="611">
        <f>CZ63</f>
        <v>191.563075</v>
      </c>
      <c r="BW71" s="611">
        <f>DB63</f>
        <v>265.98416700000001</v>
      </c>
      <c r="BX71" s="611">
        <f>DC63</f>
        <v>2240.72037</v>
      </c>
      <c r="CX71" s="249"/>
      <c r="CY71" s="308"/>
      <c r="CZ71" s="308"/>
      <c r="DA71" s="250"/>
      <c r="DB71" s="250"/>
      <c r="DC71" s="321"/>
      <c r="DD71" s="250"/>
      <c r="DE71" s="250"/>
      <c r="DF71" s="250"/>
      <c r="DG71" s="250"/>
      <c r="DH71" s="250"/>
      <c r="DI71" s="250"/>
      <c r="DJ71" s="320"/>
      <c r="DK71" s="320"/>
      <c r="DL71" s="320"/>
    </row>
    <row r="72" spans="1:116">
      <c r="A72" s="778" t="str">
        <f>Historico!A72</f>
        <v>Área de Demanda 10</v>
      </c>
      <c r="B72" s="20">
        <f>+Historico!N72</f>
        <v>1.0288999999999999</v>
      </c>
      <c r="C72" s="13">
        <f t="shared" si="29"/>
        <v>1.0085999999999999</v>
      </c>
      <c r="D72" s="76">
        <f t="shared" si="30"/>
        <v>-1.9729808533385129E-2</v>
      </c>
      <c r="F72" s="13">
        <f>IF(IF(ResumenIndicadores!$F$10="Ft-1",B72,C72)=0,"",IF(ResumenIndicadores!$F$10="Ft-1",B72,C72))</f>
        <v>1.0288999999999999</v>
      </c>
      <c r="G72" s="105"/>
      <c r="H72" s="105"/>
      <c r="I72" s="105"/>
      <c r="J72" s="105"/>
      <c r="M72" s="826"/>
      <c r="N72" s="827"/>
      <c r="O72" s="827"/>
      <c r="P72" s="197">
        <v>10</v>
      </c>
      <c r="Q72" s="576">
        <v>0.27150000000000002</v>
      </c>
      <c r="R72" s="576">
        <v>0.65259999999999996</v>
      </c>
      <c r="S72" s="576">
        <v>1.8599999999999998E-2</v>
      </c>
      <c r="T72" s="576">
        <v>5.7299999999999997E-2</v>
      </c>
      <c r="X72" s="826"/>
      <c r="Y72" s="827"/>
      <c r="Z72" s="827"/>
      <c r="AA72" s="197">
        <v>10</v>
      </c>
      <c r="AB72" s="611">
        <f t="shared" si="31"/>
        <v>0.81588105030053781</v>
      </c>
      <c r="AC72" s="611">
        <f t="shared" si="32"/>
        <v>1.0882213704285129</v>
      </c>
      <c r="AD72" s="611">
        <f t="shared" si="33"/>
        <v>1.3481692189094348</v>
      </c>
      <c r="AE72" s="611">
        <f t="shared" si="34"/>
        <v>0.90384931740638252</v>
      </c>
      <c r="AF72" s="611">
        <v>0</v>
      </c>
      <c r="AI72" s="826"/>
      <c r="AJ72" s="827"/>
      <c r="AK72" s="827"/>
      <c r="AL72" s="197">
        <v>10</v>
      </c>
      <c r="AM72" s="611">
        <f>DA64</f>
        <v>2.5790000000000002</v>
      </c>
      <c r="AN72" s="611">
        <f>CZ64</f>
        <v>208.463032</v>
      </c>
      <c r="AO72" s="611">
        <f>DB64</f>
        <v>358.5916666666667</v>
      </c>
      <c r="AP72" s="611">
        <f>DC64</f>
        <v>2025.2735769230769</v>
      </c>
      <c r="BQ72" s="826"/>
      <c r="BR72" s="827"/>
      <c r="BS72" s="827"/>
      <c r="BT72" s="197">
        <v>10</v>
      </c>
      <c r="BU72" s="611">
        <f>DA63</f>
        <v>3.161</v>
      </c>
      <c r="BV72" s="611">
        <f>CZ63</f>
        <v>191.563075</v>
      </c>
      <c r="BW72" s="611">
        <f>DB63</f>
        <v>265.98416700000001</v>
      </c>
      <c r="BX72" s="611">
        <f>DC63</f>
        <v>2240.72037</v>
      </c>
      <c r="CX72" s="249"/>
      <c r="CY72" s="308"/>
      <c r="CZ72" s="308"/>
      <c r="DA72" s="250"/>
      <c r="DB72" s="250"/>
      <c r="DC72" s="321"/>
      <c r="DD72" s="250"/>
      <c r="DE72" s="250"/>
      <c r="DF72" s="250"/>
      <c r="DG72" s="250"/>
      <c r="DH72" s="250"/>
      <c r="DI72" s="250"/>
      <c r="DJ72" s="320"/>
      <c r="DK72" s="320"/>
      <c r="DL72" s="320"/>
    </row>
    <row r="73" spans="1:116">
      <c r="A73" s="778" t="str">
        <f>Historico!A73</f>
        <v>Área de Demanda 11</v>
      </c>
      <c r="B73" s="20">
        <f>+Historico!N73</f>
        <v>1.0432999999999999</v>
      </c>
      <c r="C73" s="13">
        <f t="shared" si="29"/>
        <v>1.0256000000000001</v>
      </c>
      <c r="D73" s="76">
        <f t="shared" si="30"/>
        <v>-1.6965398255535113E-2</v>
      </c>
      <c r="F73" s="13">
        <f>IF(IF(ResumenIndicadores!$F$10="Ft-1",B73,C73)=0,"",IF(ResumenIndicadores!$F$10="Ft-1",B73,C73))</f>
        <v>1.0432999999999999</v>
      </c>
      <c r="G73" s="105"/>
      <c r="H73" s="105"/>
      <c r="I73" s="105"/>
      <c r="J73" s="105"/>
      <c r="M73" s="826"/>
      <c r="N73" s="827"/>
      <c r="O73" s="827"/>
      <c r="P73" s="197">
        <v>11</v>
      </c>
      <c r="Q73" s="576">
        <v>0.2379</v>
      </c>
      <c r="R73" s="576">
        <v>0.70209999999999995</v>
      </c>
      <c r="S73" s="576">
        <v>2.9700000000000001E-2</v>
      </c>
      <c r="T73" s="576">
        <v>3.0300000000000001E-2</v>
      </c>
      <c r="X73" s="826"/>
      <c r="Y73" s="827"/>
      <c r="Z73" s="827"/>
      <c r="AA73" s="197">
        <v>11</v>
      </c>
      <c r="AB73" s="611">
        <f t="shared" si="31"/>
        <v>0.81588105030053781</v>
      </c>
      <c r="AC73" s="611">
        <f t="shared" si="32"/>
        <v>1.0882213704285129</v>
      </c>
      <c r="AD73" s="611">
        <f t="shared" si="33"/>
        <v>1.3481692189094348</v>
      </c>
      <c r="AE73" s="611">
        <f t="shared" si="34"/>
        <v>0.90384931740638252</v>
      </c>
      <c r="AF73" s="611">
        <v>0</v>
      </c>
      <c r="AI73" s="826"/>
      <c r="AJ73" s="827"/>
      <c r="AK73" s="827"/>
      <c r="AL73" s="197">
        <v>11</v>
      </c>
      <c r="AM73" s="611">
        <f>DA64</f>
        <v>2.5790000000000002</v>
      </c>
      <c r="AN73" s="611">
        <f>CZ64</f>
        <v>208.463032</v>
      </c>
      <c r="AO73" s="611">
        <f>DB64</f>
        <v>358.5916666666667</v>
      </c>
      <c r="AP73" s="611">
        <f>DC64</f>
        <v>2025.2735769230769</v>
      </c>
      <c r="BQ73" s="826"/>
      <c r="BR73" s="827"/>
      <c r="BS73" s="827"/>
      <c r="BT73" s="197">
        <v>11</v>
      </c>
      <c r="BU73" s="611">
        <f>DA63</f>
        <v>3.161</v>
      </c>
      <c r="BV73" s="611">
        <f>CZ63</f>
        <v>191.563075</v>
      </c>
      <c r="BW73" s="611">
        <f>DB63</f>
        <v>265.98416700000001</v>
      </c>
      <c r="BX73" s="611">
        <f>DC63</f>
        <v>2240.72037</v>
      </c>
      <c r="CX73" s="249"/>
      <c r="CY73" s="308"/>
      <c r="CZ73" s="308"/>
      <c r="DA73" s="250"/>
      <c r="DB73" s="250"/>
      <c r="DC73" s="321"/>
      <c r="DD73" s="250"/>
      <c r="DE73" s="250"/>
      <c r="DF73" s="250"/>
      <c r="DG73" s="250"/>
      <c r="DH73" s="250"/>
      <c r="DI73" s="250"/>
      <c r="DJ73" s="320"/>
      <c r="DK73" s="320"/>
      <c r="DL73" s="320"/>
    </row>
    <row r="74" spans="1:116">
      <c r="A74" s="778" t="str">
        <f>Historico!A74</f>
        <v>Área de Demanda 12</v>
      </c>
      <c r="B74" s="20">
        <f>+Historico!N74</f>
        <v>0.9748</v>
      </c>
      <c r="C74" s="13">
        <f t="shared" si="29"/>
        <v>0.95109999999999995</v>
      </c>
      <c r="D74" s="76">
        <f t="shared" si="30"/>
        <v>-2.4312679524004954E-2</v>
      </c>
      <c r="F74" s="13">
        <f>IF(IF(ResumenIndicadores!$F$10="Ft-1",B74,C74)=0,"",IF(ResumenIndicadores!$F$10="Ft-1",B74,C74))</f>
        <v>0.9748</v>
      </c>
      <c r="G74" s="105"/>
      <c r="H74" s="105"/>
      <c r="I74" s="105"/>
      <c r="J74" s="105"/>
      <c r="M74" s="826"/>
      <c r="N74" s="827"/>
      <c r="O74" s="827"/>
      <c r="P74" s="197">
        <v>12</v>
      </c>
      <c r="Q74" s="576">
        <v>0.53039999999999998</v>
      </c>
      <c r="R74" s="576">
        <v>0.38059999999999999</v>
      </c>
      <c r="S74" s="576">
        <v>5.3499999999999999E-2</v>
      </c>
      <c r="T74" s="576">
        <v>3.5499999999999997E-2</v>
      </c>
      <c r="X74" s="826"/>
      <c r="Y74" s="827"/>
      <c r="Z74" s="827"/>
      <c r="AA74" s="197">
        <v>12</v>
      </c>
      <c r="AB74" s="611">
        <f t="shared" si="31"/>
        <v>0.81588105030053781</v>
      </c>
      <c r="AC74" s="611">
        <f t="shared" si="32"/>
        <v>1.0882213704285129</v>
      </c>
      <c r="AD74" s="611">
        <f t="shared" si="33"/>
        <v>1.3481692189094348</v>
      </c>
      <c r="AE74" s="611">
        <f t="shared" si="34"/>
        <v>0.90384931740638252</v>
      </c>
      <c r="AF74" s="611">
        <v>0</v>
      </c>
      <c r="AI74" s="826"/>
      <c r="AJ74" s="827"/>
      <c r="AK74" s="827"/>
      <c r="AL74" s="197">
        <v>12</v>
      </c>
      <c r="AM74" s="611">
        <f>DA64</f>
        <v>2.5790000000000002</v>
      </c>
      <c r="AN74" s="611">
        <f>CZ64</f>
        <v>208.463032</v>
      </c>
      <c r="AO74" s="611">
        <f>DB64</f>
        <v>358.5916666666667</v>
      </c>
      <c r="AP74" s="611">
        <f>DC64</f>
        <v>2025.2735769230769</v>
      </c>
      <c r="BQ74" s="826"/>
      <c r="BR74" s="827"/>
      <c r="BS74" s="827"/>
      <c r="BT74" s="197">
        <v>12</v>
      </c>
      <c r="BU74" s="611">
        <f>DA63</f>
        <v>3.161</v>
      </c>
      <c r="BV74" s="611">
        <f>CZ63</f>
        <v>191.563075</v>
      </c>
      <c r="BW74" s="611">
        <f>DB63</f>
        <v>265.98416700000001</v>
      </c>
      <c r="BX74" s="611">
        <f>DC63</f>
        <v>2240.72037</v>
      </c>
      <c r="CX74" s="249"/>
      <c r="CY74" s="308"/>
      <c r="CZ74" s="308"/>
      <c r="DA74" s="250"/>
      <c r="DB74" s="250"/>
      <c r="DC74" s="321"/>
      <c r="DD74" s="250"/>
      <c r="DE74" s="250"/>
      <c r="DF74" s="250"/>
      <c r="DG74" s="250"/>
      <c r="DH74" s="250"/>
      <c r="DI74" s="250"/>
      <c r="DJ74" s="320"/>
      <c r="DK74" s="320"/>
      <c r="DL74" s="320"/>
    </row>
    <row r="75" spans="1:116">
      <c r="A75" s="778" t="str">
        <f>Historico!A75</f>
        <v>Área de Demanda 13</v>
      </c>
      <c r="B75" s="20">
        <f>+Historico!N75</f>
        <v>1.0370999999999999</v>
      </c>
      <c r="C75" s="13">
        <f t="shared" si="29"/>
        <v>1.0176000000000001</v>
      </c>
      <c r="D75" s="76">
        <f t="shared" si="30"/>
        <v>-1.8802429852473046E-2</v>
      </c>
      <c r="F75" s="13">
        <f>IF(IF(ResumenIndicadores!$F$10="Ft-1",B75,C75)=0,"",IF(ResumenIndicadores!$F$10="Ft-1",B75,C75))</f>
        <v>1.0370999999999999</v>
      </c>
      <c r="G75" s="105"/>
      <c r="H75" s="105"/>
      <c r="I75" s="105"/>
      <c r="J75" s="105"/>
      <c r="M75" s="826"/>
      <c r="N75" s="827"/>
      <c r="O75" s="827"/>
      <c r="P75" s="197">
        <v>13</v>
      </c>
      <c r="Q75" s="576">
        <v>0.25459999999999999</v>
      </c>
      <c r="R75" s="576">
        <v>0.67359999999999998</v>
      </c>
      <c r="S75" s="576">
        <v>2.7E-2</v>
      </c>
      <c r="T75" s="576">
        <v>4.48E-2</v>
      </c>
      <c r="X75" s="826"/>
      <c r="Y75" s="827"/>
      <c r="Z75" s="827"/>
      <c r="AA75" s="197">
        <v>13</v>
      </c>
      <c r="AB75" s="611">
        <f t="shared" si="31"/>
        <v>0.81588105030053781</v>
      </c>
      <c r="AC75" s="611">
        <f t="shared" si="32"/>
        <v>1.0882213704285129</v>
      </c>
      <c r="AD75" s="611">
        <f t="shared" si="33"/>
        <v>1.3481692189094348</v>
      </c>
      <c r="AE75" s="611">
        <f t="shared" si="34"/>
        <v>0.90384931740638252</v>
      </c>
      <c r="AF75" s="611">
        <v>0</v>
      </c>
      <c r="AI75" s="826"/>
      <c r="AJ75" s="827"/>
      <c r="AK75" s="827"/>
      <c r="AL75" s="197">
        <v>13</v>
      </c>
      <c r="AM75" s="611">
        <f>DA64</f>
        <v>2.5790000000000002</v>
      </c>
      <c r="AN75" s="611">
        <f>CZ64</f>
        <v>208.463032</v>
      </c>
      <c r="AO75" s="611">
        <f>DB64</f>
        <v>358.5916666666667</v>
      </c>
      <c r="AP75" s="611">
        <f>DC64</f>
        <v>2025.2735769230769</v>
      </c>
      <c r="BQ75" s="826"/>
      <c r="BR75" s="827"/>
      <c r="BS75" s="827"/>
      <c r="BT75" s="197">
        <v>13</v>
      </c>
      <c r="BU75" s="611">
        <f>DA63</f>
        <v>3.161</v>
      </c>
      <c r="BV75" s="611">
        <f>CZ63</f>
        <v>191.563075</v>
      </c>
      <c r="BW75" s="611">
        <f>DB63</f>
        <v>265.98416700000001</v>
      </c>
      <c r="BX75" s="611">
        <f>DC63</f>
        <v>2240.72037</v>
      </c>
      <c r="CX75" s="249"/>
      <c r="CY75" s="308"/>
      <c r="CZ75" s="308"/>
      <c r="DA75" s="250"/>
      <c r="DB75" s="250"/>
      <c r="DC75" s="321"/>
      <c r="DD75" s="250"/>
      <c r="DE75" s="250"/>
      <c r="DF75" s="250"/>
      <c r="DG75" s="250"/>
      <c r="DH75" s="250"/>
      <c r="DI75" s="250"/>
      <c r="DJ75" s="320"/>
      <c r="DK75" s="320"/>
      <c r="DL75" s="320"/>
    </row>
    <row r="76" spans="1:116">
      <c r="A76" s="778" t="str">
        <f>Historico!A76</f>
        <v>Área de Demanda 14</v>
      </c>
      <c r="B76" s="20">
        <f>+Historico!N76</f>
        <v>1.0617000000000001</v>
      </c>
      <c r="C76" s="13">
        <f t="shared" si="29"/>
        <v>1.0432999999999999</v>
      </c>
      <c r="D76" s="76">
        <f t="shared" si="30"/>
        <v>-1.7330696053499239E-2</v>
      </c>
      <c r="F76" s="13">
        <f>IF(IF(ResumenIndicadores!$F$10="Ft-1",B76,C76)=0,"",IF(ResumenIndicadores!$F$10="Ft-1",B76,C76))</f>
        <v>1.0617000000000001</v>
      </c>
      <c r="G76" s="105"/>
      <c r="H76" s="105"/>
      <c r="I76" s="105"/>
      <c r="J76" s="105"/>
      <c r="M76" s="826"/>
      <c r="N76" s="827"/>
      <c r="O76" s="827"/>
      <c r="P76" s="197">
        <v>14</v>
      </c>
      <c r="Q76" s="576">
        <v>0.1973</v>
      </c>
      <c r="R76" s="576">
        <v>0.7278</v>
      </c>
      <c r="S76" s="576">
        <v>5.0799999999999998E-2</v>
      </c>
      <c r="T76" s="576">
        <v>2.41E-2</v>
      </c>
      <c r="V76" s="250"/>
      <c r="W76" s="250"/>
      <c r="X76" s="826"/>
      <c r="Y76" s="827"/>
      <c r="Z76" s="827"/>
      <c r="AA76" s="197">
        <v>14</v>
      </c>
      <c r="AB76" s="611">
        <f t="shared" si="31"/>
        <v>0.81588105030053781</v>
      </c>
      <c r="AC76" s="611">
        <f t="shared" si="32"/>
        <v>1.0882213704285129</v>
      </c>
      <c r="AD76" s="611">
        <f t="shared" si="33"/>
        <v>1.3481692189094348</v>
      </c>
      <c r="AE76" s="611">
        <f t="shared" si="34"/>
        <v>0.90384931740638252</v>
      </c>
      <c r="AF76" s="611">
        <v>0</v>
      </c>
      <c r="AG76" s="252"/>
      <c r="AH76" s="250"/>
      <c r="AI76" s="826"/>
      <c r="AJ76" s="827"/>
      <c r="AK76" s="827"/>
      <c r="AL76" s="197">
        <v>14</v>
      </c>
      <c r="AM76" s="611">
        <f>DA64</f>
        <v>2.5790000000000002</v>
      </c>
      <c r="AN76" s="611">
        <f>CZ64</f>
        <v>208.463032</v>
      </c>
      <c r="AO76" s="611">
        <f>DB64</f>
        <v>358.5916666666667</v>
      </c>
      <c r="AP76" s="611">
        <f>DC64</f>
        <v>2025.2735769230769</v>
      </c>
      <c r="AR76" s="252"/>
      <c r="AS76" s="252"/>
      <c r="AT76" s="250"/>
      <c r="AU76" s="250"/>
      <c r="AV76" s="250"/>
      <c r="AW76" s="250"/>
      <c r="AX76" s="250"/>
      <c r="AY76" s="250"/>
      <c r="AZ76" s="250"/>
      <c r="BA76" s="250"/>
      <c r="BB76" s="250"/>
      <c r="BC76" s="250"/>
      <c r="BD76" s="250"/>
      <c r="BE76" s="250"/>
      <c r="BF76" s="250"/>
      <c r="BG76" s="250"/>
      <c r="BH76" s="250"/>
      <c r="BI76" s="250"/>
      <c r="BJ76" s="250"/>
      <c r="BK76" s="250"/>
      <c r="BL76" s="250"/>
      <c r="BM76" s="250"/>
      <c r="BN76" s="250"/>
      <c r="BO76" s="250"/>
      <c r="BP76" s="250"/>
      <c r="BQ76" s="826"/>
      <c r="BR76" s="827"/>
      <c r="BS76" s="827"/>
      <c r="BT76" s="197">
        <v>14</v>
      </c>
      <c r="BU76" s="611">
        <f>DA63</f>
        <v>3.161</v>
      </c>
      <c r="BV76" s="611">
        <f>CZ63</f>
        <v>191.563075</v>
      </c>
      <c r="BW76" s="611">
        <f>DB63</f>
        <v>265.98416700000001</v>
      </c>
      <c r="BX76" s="611">
        <f>DC63</f>
        <v>2240.72037</v>
      </c>
      <c r="BZ76" s="252"/>
      <c r="CA76" s="252"/>
      <c r="CB76" s="250"/>
      <c r="CC76" s="250"/>
      <c r="CD76" s="250"/>
      <c r="CE76" s="250"/>
      <c r="CF76" s="250"/>
      <c r="CG76" s="250"/>
      <c r="CH76" s="250"/>
      <c r="CI76" s="250"/>
      <c r="CJ76" s="250"/>
      <c r="CK76" s="250"/>
      <c r="CL76" s="250"/>
      <c r="CM76" s="250"/>
      <c r="CN76" s="250"/>
      <c r="CO76" s="250"/>
      <c r="CP76" s="250"/>
      <c r="CQ76" s="250"/>
      <c r="CR76" s="250"/>
      <c r="CS76" s="250"/>
      <c r="CT76" s="250"/>
      <c r="CU76" s="250"/>
      <c r="CV76" s="250"/>
      <c r="CW76" s="250"/>
      <c r="CX76" s="249"/>
      <c r="CY76" s="308"/>
      <c r="CZ76" s="308"/>
      <c r="DA76" s="250"/>
      <c r="DB76" s="250"/>
      <c r="DC76" s="321"/>
      <c r="DD76" s="250"/>
      <c r="DE76" s="250"/>
      <c r="DF76" s="250"/>
      <c r="DG76" s="250"/>
      <c r="DH76" s="250"/>
      <c r="DI76" s="250"/>
      <c r="DJ76" s="320"/>
      <c r="DK76" s="320"/>
      <c r="DL76" s="320"/>
    </row>
    <row r="77" spans="1:116">
      <c r="A77" s="778" t="str">
        <f>Historico!A77</f>
        <v>Área de Demanda 15</v>
      </c>
      <c r="B77" s="20">
        <f>+Historico!N77</f>
        <v>1.0065999999999999</v>
      </c>
      <c r="C77" s="13">
        <f t="shared" si="29"/>
        <v>0.97829999999999995</v>
      </c>
      <c r="D77" s="76">
        <f t="shared" si="30"/>
        <v>-2.8114444665209626E-2</v>
      </c>
      <c r="F77" s="13">
        <f>IF(IF(ResumenIndicadores!$F$10="Ft-1",B77,C77)=0,"",IF(ResumenIndicadores!$F$10="Ft-1",B77,C77))</f>
        <v>1.0065999999999999</v>
      </c>
      <c r="G77" s="105"/>
      <c r="H77" s="105"/>
      <c r="I77" s="105"/>
      <c r="J77" s="105"/>
      <c r="M77" s="828"/>
      <c r="N77" s="829"/>
      <c r="O77" s="829"/>
      <c r="P77" s="197">
        <v>15</v>
      </c>
      <c r="Q77" s="576">
        <v>0.31430000000000002</v>
      </c>
      <c r="R77" s="576">
        <v>0.55189999999999995</v>
      </c>
      <c r="S77" s="576">
        <v>6.9999999999999999E-4</v>
      </c>
      <c r="T77" s="576">
        <v>0.1331</v>
      </c>
      <c r="V77" s="250"/>
      <c r="W77" s="250"/>
      <c r="X77" s="828"/>
      <c r="Y77" s="829"/>
      <c r="Z77" s="829"/>
      <c r="AA77" s="197">
        <v>15</v>
      </c>
      <c r="AB77" s="611">
        <f t="shared" si="31"/>
        <v>0.81588105030053781</v>
      </c>
      <c r="AC77" s="611">
        <f t="shared" si="32"/>
        <v>1.0882213704285129</v>
      </c>
      <c r="AD77" s="611">
        <f t="shared" si="33"/>
        <v>1.3481692189094348</v>
      </c>
      <c r="AE77" s="611">
        <f t="shared" si="34"/>
        <v>0.90384931740638252</v>
      </c>
      <c r="AF77" s="611">
        <v>0</v>
      </c>
      <c r="AG77" s="252"/>
      <c r="AH77" s="250"/>
      <c r="AI77" s="828"/>
      <c r="AJ77" s="829"/>
      <c r="AK77" s="829"/>
      <c r="AL77" s="197">
        <v>15</v>
      </c>
      <c r="AM77" s="611">
        <f>DA64</f>
        <v>2.5790000000000002</v>
      </c>
      <c r="AN77" s="611">
        <f>CZ64</f>
        <v>208.463032</v>
      </c>
      <c r="AO77" s="611">
        <f>DB64</f>
        <v>358.5916666666667</v>
      </c>
      <c r="AP77" s="611">
        <f>DC64</f>
        <v>2025.2735769230769</v>
      </c>
      <c r="AR77" s="252"/>
      <c r="AS77" s="252"/>
      <c r="AT77" s="250"/>
      <c r="AU77" s="250"/>
      <c r="AV77" s="250"/>
      <c r="AW77" s="250"/>
      <c r="AX77" s="250"/>
      <c r="AY77" s="250"/>
      <c r="AZ77" s="250"/>
      <c r="BA77" s="250"/>
      <c r="BB77" s="250"/>
      <c r="BC77" s="250"/>
      <c r="BD77" s="250"/>
      <c r="BE77" s="250"/>
      <c r="BF77" s="250"/>
      <c r="BG77" s="250"/>
      <c r="BH77" s="250"/>
      <c r="BI77" s="250"/>
      <c r="BJ77" s="250"/>
      <c r="BK77" s="250"/>
      <c r="BL77" s="250"/>
      <c r="BM77" s="250"/>
      <c r="BN77" s="250"/>
      <c r="BO77" s="250"/>
      <c r="BP77" s="250"/>
      <c r="BQ77" s="828"/>
      <c r="BR77" s="829"/>
      <c r="BS77" s="829"/>
      <c r="BT77" s="197">
        <v>15</v>
      </c>
      <c r="BU77" s="611">
        <f>DA63</f>
        <v>3.161</v>
      </c>
      <c r="BV77" s="611">
        <f>CZ63</f>
        <v>191.563075</v>
      </c>
      <c r="BW77" s="611">
        <f>DB63</f>
        <v>265.98416700000001</v>
      </c>
      <c r="BX77" s="611">
        <f>DC63</f>
        <v>2240.72037</v>
      </c>
      <c r="BZ77" s="252"/>
      <c r="CA77" s="252"/>
      <c r="CB77" s="250"/>
      <c r="CC77" s="250"/>
      <c r="CD77" s="250"/>
      <c r="CE77" s="250"/>
      <c r="CF77" s="250"/>
      <c r="CG77" s="250"/>
      <c r="CH77" s="250"/>
      <c r="CI77" s="250"/>
      <c r="CJ77" s="250"/>
      <c r="CK77" s="250"/>
      <c r="CL77" s="250"/>
      <c r="CM77" s="250"/>
      <c r="CN77" s="250"/>
      <c r="CO77" s="250"/>
      <c r="CP77" s="250"/>
      <c r="CQ77" s="250"/>
      <c r="CR77" s="250"/>
      <c r="CS77" s="250"/>
      <c r="CT77" s="250"/>
      <c r="CU77" s="250"/>
      <c r="CV77" s="250"/>
      <c r="CW77" s="250"/>
      <c r="CX77" s="249"/>
      <c r="CY77" s="308"/>
      <c r="CZ77" s="308"/>
      <c r="DA77" s="250"/>
      <c r="DB77" s="250"/>
      <c r="DC77" s="321"/>
      <c r="DD77" s="250"/>
      <c r="DE77" s="250"/>
      <c r="DF77" s="250"/>
      <c r="DG77" s="250"/>
      <c r="DH77" s="250"/>
      <c r="DI77" s="250"/>
      <c r="DJ77" s="320"/>
      <c r="DK77" s="320"/>
      <c r="DL77" s="320"/>
    </row>
    <row r="78" spans="1:116">
      <c r="A78" s="778" t="str">
        <f>Historico!A78</f>
        <v>Instalaciones BOOT - Redesur</v>
      </c>
      <c r="B78" s="20">
        <f>+Historico!N78</f>
        <v>0.83550000000000002</v>
      </c>
      <c r="C78" s="13">
        <f t="shared" si="29"/>
        <v>0.81589999999999996</v>
      </c>
      <c r="D78" s="76">
        <f t="shared" si="30"/>
        <v>-2.3459006582884578E-2</v>
      </c>
      <c r="F78" s="13">
        <f>IF(IF(ResumenIndicadores!$F$10="Ft-1",B78,C78)=0,"",IF(ResumenIndicadores!$F$10="Ft-1",B78,C78))</f>
        <v>0.83550000000000002</v>
      </c>
      <c r="G78" s="105"/>
      <c r="H78" s="105"/>
      <c r="I78" s="105"/>
      <c r="J78" s="105"/>
      <c r="M78" s="830" t="s">
        <v>121</v>
      </c>
      <c r="N78" s="832" t="s">
        <v>407</v>
      </c>
      <c r="O78" s="553" t="s">
        <v>109</v>
      </c>
      <c r="P78" s="554" t="s">
        <v>110</v>
      </c>
      <c r="Q78" s="579">
        <v>1</v>
      </c>
      <c r="R78" s="579">
        <v>0</v>
      </c>
      <c r="S78" s="579">
        <v>0</v>
      </c>
      <c r="T78" s="579">
        <v>0</v>
      </c>
      <c r="V78" s="250"/>
      <c r="W78" s="250"/>
      <c r="X78" s="830" t="s">
        <v>121</v>
      </c>
      <c r="Y78" s="832" t="s">
        <v>407</v>
      </c>
      <c r="Z78" s="553" t="s">
        <v>109</v>
      </c>
      <c r="AA78" s="554" t="s">
        <v>110</v>
      </c>
      <c r="AB78" s="613">
        <f t="shared" ref="AB78:AB82" si="35">AM78/BU78</f>
        <v>0.81588105030053781</v>
      </c>
      <c r="AC78" s="613">
        <v>0</v>
      </c>
      <c r="AD78" s="613">
        <v>0</v>
      </c>
      <c r="AE78" s="613">
        <v>0</v>
      </c>
      <c r="AF78" s="613">
        <v>0</v>
      </c>
      <c r="AG78" s="252"/>
      <c r="AH78" s="250"/>
      <c r="AI78" s="830" t="s">
        <v>121</v>
      </c>
      <c r="AJ78" s="832" t="s">
        <v>407</v>
      </c>
      <c r="AK78" s="553" t="s">
        <v>109</v>
      </c>
      <c r="AL78" s="554" t="s">
        <v>110</v>
      </c>
      <c r="AM78" s="613">
        <f>DA64</f>
        <v>2.5790000000000002</v>
      </c>
      <c r="AN78" s="613">
        <v>0</v>
      </c>
      <c r="AO78" s="613">
        <v>0</v>
      </c>
      <c r="AP78" s="613">
        <v>0</v>
      </c>
      <c r="AR78" s="252"/>
      <c r="AS78" s="252"/>
      <c r="AT78" s="250"/>
      <c r="AU78" s="250"/>
      <c r="AV78" s="250"/>
      <c r="AW78" s="250"/>
      <c r="AX78" s="250"/>
      <c r="AY78" s="250"/>
      <c r="AZ78" s="250"/>
      <c r="BA78" s="250"/>
      <c r="BB78" s="250"/>
      <c r="BC78" s="250"/>
      <c r="BD78" s="250"/>
      <c r="BE78" s="250"/>
      <c r="BF78" s="250"/>
      <c r="BG78" s="250"/>
      <c r="BH78" s="250"/>
      <c r="BI78" s="250"/>
      <c r="BJ78" s="250"/>
      <c r="BK78" s="250"/>
      <c r="BL78" s="250"/>
      <c r="BM78" s="250"/>
      <c r="BN78" s="250"/>
      <c r="BO78" s="250"/>
      <c r="BP78" s="250"/>
      <c r="BQ78" s="830" t="s">
        <v>121</v>
      </c>
      <c r="BR78" s="832" t="s">
        <v>407</v>
      </c>
      <c r="BS78" s="553" t="s">
        <v>109</v>
      </c>
      <c r="BT78" s="554" t="s">
        <v>110</v>
      </c>
      <c r="BU78" s="613">
        <f>DA63</f>
        <v>3.161</v>
      </c>
      <c r="BV78" s="613">
        <v>0</v>
      </c>
      <c r="BW78" s="613">
        <v>0</v>
      </c>
      <c r="BX78" s="613">
        <v>0</v>
      </c>
      <c r="BZ78" s="252"/>
      <c r="CA78" s="252"/>
      <c r="CB78" s="250"/>
      <c r="CC78" s="250"/>
      <c r="CD78" s="250"/>
      <c r="CE78" s="250"/>
      <c r="CF78" s="250"/>
      <c r="CG78" s="250"/>
      <c r="CH78" s="250"/>
      <c r="CI78" s="250"/>
      <c r="CJ78" s="250"/>
      <c r="CK78" s="250"/>
      <c r="CL78" s="250"/>
      <c r="CM78" s="250"/>
      <c r="CN78" s="250"/>
      <c r="CO78" s="250"/>
      <c r="CP78" s="250"/>
      <c r="CQ78" s="250"/>
      <c r="CR78" s="250"/>
      <c r="CS78" s="250"/>
      <c r="CT78" s="250"/>
      <c r="CU78" s="250"/>
      <c r="CV78" s="250"/>
      <c r="CW78" s="250"/>
      <c r="CX78" s="249"/>
      <c r="CY78" s="308"/>
      <c r="CZ78" s="308"/>
      <c r="DA78" s="250"/>
      <c r="DB78" s="250"/>
      <c r="DC78" s="321"/>
      <c r="DD78" s="250"/>
      <c r="DE78" s="250"/>
      <c r="DF78" s="250"/>
      <c r="DG78" s="250"/>
      <c r="DH78" s="250"/>
      <c r="DI78" s="250"/>
      <c r="DJ78" s="320"/>
      <c r="DK78" s="320"/>
      <c r="DL78" s="320"/>
    </row>
    <row r="79" spans="1:116">
      <c r="A79" s="778" t="str">
        <f>Historico!A79</f>
        <v>Instalaciones BOOT - ISA Peru</v>
      </c>
      <c r="B79" s="20">
        <f>+Historico!N79</f>
        <v>0.83550000000000002</v>
      </c>
      <c r="C79" s="13">
        <f t="shared" si="29"/>
        <v>0.81589999999999996</v>
      </c>
      <c r="D79" s="76">
        <f t="shared" si="30"/>
        <v>-2.3459006582884578E-2</v>
      </c>
      <c r="F79" s="13">
        <f>IF(IF(ResumenIndicadores!$F$10="Ft-1",B79,C79)=0,"",IF(ResumenIndicadores!$F$10="Ft-1",B79,C79))</f>
        <v>0.83550000000000002</v>
      </c>
      <c r="G79" s="105"/>
      <c r="H79" s="105"/>
      <c r="I79" s="105"/>
      <c r="J79" s="105"/>
      <c r="M79" s="831"/>
      <c r="N79" s="833"/>
      <c r="O79" s="553" t="s">
        <v>111</v>
      </c>
      <c r="P79" s="554" t="s">
        <v>112</v>
      </c>
      <c r="Q79" s="577">
        <v>1</v>
      </c>
      <c r="R79" s="577">
        <v>0</v>
      </c>
      <c r="S79" s="577">
        <v>0</v>
      </c>
      <c r="T79" s="577">
        <v>0</v>
      </c>
      <c r="U79" s="599"/>
      <c r="V79" s="250"/>
      <c r="W79" s="250"/>
      <c r="X79" s="831"/>
      <c r="Y79" s="833"/>
      <c r="Z79" s="553" t="s">
        <v>111</v>
      </c>
      <c r="AA79" s="554" t="s">
        <v>112</v>
      </c>
      <c r="AB79" s="612">
        <f t="shared" si="35"/>
        <v>0.81588105030053781</v>
      </c>
      <c r="AC79" s="612">
        <v>0</v>
      </c>
      <c r="AD79" s="612">
        <v>0</v>
      </c>
      <c r="AE79" s="612">
        <v>0</v>
      </c>
      <c r="AF79" s="612">
        <v>0</v>
      </c>
      <c r="AG79" s="252"/>
      <c r="AH79" s="250"/>
      <c r="AI79" s="831"/>
      <c r="AJ79" s="833"/>
      <c r="AK79" s="553" t="s">
        <v>111</v>
      </c>
      <c r="AL79" s="554" t="s">
        <v>112</v>
      </c>
      <c r="AM79" s="612">
        <f>DA64</f>
        <v>2.5790000000000002</v>
      </c>
      <c r="AN79" s="612">
        <v>0</v>
      </c>
      <c r="AO79" s="612">
        <v>0</v>
      </c>
      <c r="AP79" s="612">
        <v>0</v>
      </c>
      <c r="AQ79" s="600"/>
      <c r="AR79" s="252"/>
      <c r="AS79" s="252"/>
      <c r="AT79" s="250"/>
      <c r="AU79" s="250"/>
      <c r="AV79" s="250"/>
      <c r="AW79" s="250"/>
      <c r="AX79" s="250"/>
      <c r="AY79" s="250"/>
      <c r="AZ79" s="250"/>
      <c r="BA79" s="250"/>
      <c r="BB79" s="250"/>
      <c r="BC79" s="250"/>
      <c r="BD79" s="250"/>
      <c r="BE79" s="250"/>
      <c r="BF79" s="250"/>
      <c r="BG79" s="250"/>
      <c r="BH79" s="250"/>
      <c r="BI79" s="250"/>
      <c r="BJ79" s="250"/>
      <c r="BK79" s="250"/>
      <c r="BL79" s="250"/>
      <c r="BM79" s="250"/>
      <c r="BN79" s="250"/>
      <c r="BO79" s="250"/>
      <c r="BP79" s="250"/>
      <c r="BQ79" s="831"/>
      <c r="BR79" s="833"/>
      <c r="BS79" s="553" t="s">
        <v>111</v>
      </c>
      <c r="BT79" s="554" t="s">
        <v>112</v>
      </c>
      <c r="BU79" s="612">
        <f>DA63</f>
        <v>3.161</v>
      </c>
      <c r="BV79" s="612">
        <v>0</v>
      </c>
      <c r="BW79" s="612">
        <v>0</v>
      </c>
      <c r="BX79" s="612">
        <v>0</v>
      </c>
      <c r="BY79" s="600"/>
      <c r="BZ79" s="252"/>
      <c r="CA79" s="252"/>
      <c r="CB79" s="250"/>
      <c r="CC79" s="250"/>
      <c r="CD79" s="250"/>
      <c r="CE79" s="250"/>
      <c r="CF79" s="250"/>
      <c r="CG79" s="250"/>
      <c r="CH79" s="250"/>
      <c r="CI79" s="250"/>
      <c r="CJ79" s="250"/>
      <c r="CK79" s="250"/>
      <c r="CL79" s="250"/>
      <c r="CM79" s="250"/>
      <c r="CN79" s="250"/>
      <c r="CO79" s="250"/>
      <c r="CP79" s="250"/>
      <c r="CQ79" s="250"/>
      <c r="CR79" s="250"/>
      <c r="CS79" s="250"/>
      <c r="CT79" s="250"/>
      <c r="CU79" s="250"/>
      <c r="CV79" s="250"/>
      <c r="CW79" s="250"/>
      <c r="CX79" s="249"/>
      <c r="CY79" s="308"/>
      <c r="CZ79" s="308"/>
      <c r="DA79" s="250"/>
      <c r="DB79" s="250"/>
      <c r="DC79" s="321"/>
      <c r="DD79" s="250"/>
      <c r="DE79" s="250"/>
      <c r="DF79" s="250"/>
      <c r="DG79" s="250"/>
      <c r="DH79" s="250"/>
      <c r="DI79" s="250"/>
      <c r="DJ79" s="320"/>
      <c r="DK79" s="320"/>
      <c r="DL79" s="320"/>
    </row>
    <row r="80" spans="1:116">
      <c r="A80" s="778" t="str">
        <f>Historico!A80</f>
        <v>Otras Instalaciones- Edegel</v>
      </c>
      <c r="B80" s="20">
        <f>+Historico!N80</f>
        <v>0.94199999999999995</v>
      </c>
      <c r="C80" s="13">
        <f t="shared" si="29"/>
        <v>0.92679999999999996</v>
      </c>
      <c r="D80" s="76">
        <f t="shared" si="30"/>
        <v>-1.6135881104033967E-2</v>
      </c>
      <c r="F80" s="13">
        <f>IF(IF(ResumenIndicadores!$F$10="Ft-1",B80,C80)=0,"",IF(ResumenIndicadores!$F$10="Ft-1",B80,C80))</f>
        <v>0.94199999999999995</v>
      </c>
      <c r="G80" s="105"/>
      <c r="H80" s="105"/>
      <c r="I80" s="105"/>
      <c r="J80" s="105"/>
      <c r="M80" s="830" t="s">
        <v>120</v>
      </c>
      <c r="N80" s="834" t="s">
        <v>108</v>
      </c>
      <c r="O80" s="553" t="s">
        <v>113</v>
      </c>
      <c r="P80" s="554" t="s">
        <v>115</v>
      </c>
      <c r="Q80" s="579">
        <v>0.59289999999999998</v>
      </c>
      <c r="R80" s="579">
        <v>0.40710000000000002</v>
      </c>
      <c r="S80" s="579">
        <v>0</v>
      </c>
      <c r="T80" s="579">
        <v>0</v>
      </c>
      <c r="U80" s="250"/>
      <c r="V80" s="250"/>
      <c r="W80" s="250"/>
      <c r="X80" s="830" t="s">
        <v>120</v>
      </c>
      <c r="Y80" s="834" t="s">
        <v>108</v>
      </c>
      <c r="Z80" s="553" t="s">
        <v>113</v>
      </c>
      <c r="AA80" s="554" t="s">
        <v>115</v>
      </c>
      <c r="AB80" s="613">
        <f>AM80/BU80</f>
        <v>0.81588105030053781</v>
      </c>
      <c r="AC80" s="613">
        <f>AN80/BV80</f>
        <v>1.0882213704285129</v>
      </c>
      <c r="AD80" s="613">
        <v>0</v>
      </c>
      <c r="AE80" s="613">
        <v>0</v>
      </c>
      <c r="AF80" s="613">
        <v>0</v>
      </c>
      <c r="AG80" s="252"/>
      <c r="AH80" s="250"/>
      <c r="AI80" s="830" t="s">
        <v>120</v>
      </c>
      <c r="AJ80" s="834" t="s">
        <v>108</v>
      </c>
      <c r="AK80" s="553" t="s">
        <v>113</v>
      </c>
      <c r="AL80" s="554" t="s">
        <v>115</v>
      </c>
      <c r="AM80" s="613">
        <f>DA64</f>
        <v>2.5790000000000002</v>
      </c>
      <c r="AN80" s="613">
        <f>CZ64</f>
        <v>208.463032</v>
      </c>
      <c r="AO80" s="613">
        <v>0</v>
      </c>
      <c r="AP80" s="613">
        <v>0</v>
      </c>
      <c r="AQ80" s="252"/>
      <c r="AR80" s="252"/>
      <c r="AS80" s="252"/>
      <c r="AT80" s="250"/>
      <c r="AU80" s="250"/>
      <c r="AV80" s="250"/>
      <c r="AW80" s="250"/>
      <c r="AX80" s="250"/>
      <c r="AY80" s="250"/>
      <c r="AZ80" s="250"/>
      <c r="BA80" s="250"/>
      <c r="BB80" s="250"/>
      <c r="BC80" s="250"/>
      <c r="BD80" s="250"/>
      <c r="BE80" s="250"/>
      <c r="BF80" s="250"/>
      <c r="BG80" s="250"/>
      <c r="BH80" s="250"/>
      <c r="BI80" s="250"/>
      <c r="BJ80" s="250"/>
      <c r="BK80" s="250"/>
      <c r="BL80" s="250"/>
      <c r="BM80" s="250"/>
      <c r="BN80" s="250"/>
      <c r="BO80" s="250"/>
      <c r="BP80" s="250"/>
      <c r="BQ80" s="830" t="s">
        <v>120</v>
      </c>
      <c r="BR80" s="834" t="s">
        <v>108</v>
      </c>
      <c r="BS80" s="553" t="s">
        <v>113</v>
      </c>
      <c r="BT80" s="554" t="s">
        <v>115</v>
      </c>
      <c r="BU80" s="613">
        <f>DA63</f>
        <v>3.161</v>
      </c>
      <c r="BV80" s="613">
        <f>CZ63</f>
        <v>191.563075</v>
      </c>
      <c r="BW80" s="613">
        <v>0</v>
      </c>
      <c r="BX80" s="613">
        <v>0</v>
      </c>
      <c r="BY80" s="252"/>
      <c r="BZ80" s="252"/>
      <c r="CA80" s="252"/>
      <c r="CB80" s="250"/>
      <c r="CC80" s="250"/>
      <c r="CD80" s="250"/>
      <c r="CE80" s="250"/>
      <c r="CF80" s="250"/>
      <c r="CG80" s="250"/>
      <c r="CH80" s="250"/>
      <c r="CI80" s="250"/>
      <c r="CJ80" s="250"/>
      <c r="CK80" s="250"/>
      <c r="CL80" s="250"/>
      <c r="CM80" s="250"/>
      <c r="CN80" s="250"/>
      <c r="CO80" s="250"/>
      <c r="CP80" s="250"/>
      <c r="CQ80" s="250"/>
      <c r="CR80" s="250"/>
      <c r="CS80" s="250"/>
      <c r="CT80" s="250"/>
      <c r="CU80" s="250"/>
      <c r="CV80" s="250"/>
      <c r="CW80" s="250"/>
      <c r="CX80" s="249"/>
      <c r="CY80" s="308"/>
      <c r="CZ80" s="308"/>
      <c r="DA80" s="250"/>
      <c r="DB80" s="250"/>
      <c r="DC80" s="321"/>
      <c r="DD80" s="250"/>
      <c r="DE80" s="250"/>
      <c r="DF80" s="250"/>
      <c r="DG80" s="250"/>
      <c r="DH80" s="250"/>
      <c r="DI80" s="250"/>
      <c r="DJ80" s="320"/>
      <c r="DK80" s="320"/>
      <c r="DL80" s="320"/>
    </row>
    <row r="81" spans="1:129">
      <c r="A81" s="778" t="str">
        <f>Historico!A81</f>
        <v>Otras Instalaciones- Conenhua</v>
      </c>
      <c r="B81" s="20">
        <f>+Historico!N81</f>
        <v>1.0326</v>
      </c>
      <c r="C81" s="13">
        <f t="shared" si="29"/>
        <v>1.0078</v>
      </c>
      <c r="D81" s="76">
        <f t="shared" ref="D81:D84" si="36">+C81/B81-1</f>
        <v>-2.4017044354057604E-2</v>
      </c>
      <c r="F81" s="13">
        <f>IF(IF(ResumenIndicadores!$F$10="Ft-1",B81,C81)=0,"",IF(ResumenIndicadores!$F$10="Ft-1",B81,C81))</f>
        <v>1.0326</v>
      </c>
      <c r="G81" s="105"/>
      <c r="H81" s="105"/>
      <c r="I81" s="105"/>
      <c r="J81" s="105"/>
      <c r="M81" s="831"/>
      <c r="N81" s="835"/>
      <c r="O81" s="553" t="s">
        <v>114</v>
      </c>
      <c r="P81" s="554" t="s">
        <v>116</v>
      </c>
      <c r="Q81" s="577">
        <v>0.39879999999999999</v>
      </c>
      <c r="R81" s="577">
        <v>0.47499999999999998</v>
      </c>
      <c r="S81" s="577">
        <v>0.1159</v>
      </c>
      <c r="T81" s="577">
        <v>1.03E-2</v>
      </c>
      <c r="U81" s="250"/>
      <c r="V81" s="250"/>
      <c r="W81" s="250"/>
      <c r="X81" s="831"/>
      <c r="Y81" s="835"/>
      <c r="Z81" s="553" t="s">
        <v>114</v>
      </c>
      <c r="AA81" s="554" t="s">
        <v>116</v>
      </c>
      <c r="AB81" s="612">
        <f>AM81/BU81</f>
        <v>0.81588105030053781</v>
      </c>
      <c r="AC81" s="612">
        <f>AN81/BV81</f>
        <v>1.0882213704285129</v>
      </c>
      <c r="AD81" s="612">
        <f>AO81/BW81</f>
        <v>1.3481692189094348</v>
      </c>
      <c r="AE81" s="612">
        <f>AP81/BX81</f>
        <v>0.90384931740638252</v>
      </c>
      <c r="AF81" s="612">
        <v>0</v>
      </c>
      <c r="AG81" s="252"/>
      <c r="AH81" s="250"/>
      <c r="AI81" s="831"/>
      <c r="AJ81" s="835"/>
      <c r="AK81" s="553" t="s">
        <v>114</v>
      </c>
      <c r="AL81" s="554" t="s">
        <v>116</v>
      </c>
      <c r="AM81" s="612">
        <f>DA64</f>
        <v>2.5790000000000002</v>
      </c>
      <c r="AN81" s="612">
        <f>CZ64</f>
        <v>208.463032</v>
      </c>
      <c r="AO81" s="612">
        <f>DB64</f>
        <v>358.5916666666667</v>
      </c>
      <c r="AP81" s="612">
        <f>DC64</f>
        <v>2025.2735769230769</v>
      </c>
      <c r="AQ81" s="252"/>
      <c r="AR81" s="252"/>
      <c r="AS81" s="252"/>
      <c r="AT81" s="250"/>
      <c r="AU81" s="250"/>
      <c r="AV81" s="250"/>
      <c r="AW81" s="250"/>
      <c r="AX81" s="250"/>
      <c r="AY81" s="250"/>
      <c r="AZ81" s="250"/>
      <c r="BA81" s="250"/>
      <c r="BB81" s="250"/>
      <c r="BC81" s="250"/>
      <c r="BD81" s="250"/>
      <c r="BE81" s="250"/>
      <c r="BF81" s="250"/>
      <c r="BG81" s="250"/>
      <c r="BH81" s="250"/>
      <c r="BI81" s="250"/>
      <c r="BJ81" s="250"/>
      <c r="BK81" s="250"/>
      <c r="BL81" s="250"/>
      <c r="BM81" s="250"/>
      <c r="BN81" s="250"/>
      <c r="BO81" s="250"/>
      <c r="BP81" s="250"/>
      <c r="BQ81" s="831"/>
      <c r="BR81" s="835"/>
      <c r="BS81" s="553" t="s">
        <v>114</v>
      </c>
      <c r="BT81" s="554" t="s">
        <v>116</v>
      </c>
      <c r="BU81" s="612">
        <f>DA63</f>
        <v>3.161</v>
      </c>
      <c r="BV81" s="612">
        <f>CZ63</f>
        <v>191.563075</v>
      </c>
      <c r="BW81" s="612">
        <f>DB63</f>
        <v>265.98416700000001</v>
      </c>
      <c r="BX81" s="612">
        <f>DC63</f>
        <v>2240.72037</v>
      </c>
      <c r="BY81" s="252"/>
      <c r="BZ81" s="252"/>
      <c r="CA81" s="252"/>
      <c r="CB81" s="250"/>
      <c r="CC81" s="250"/>
      <c r="CD81" s="250"/>
      <c r="CE81" s="250"/>
      <c r="CF81" s="250"/>
      <c r="CG81" s="250"/>
      <c r="CH81" s="250"/>
      <c r="CI81" s="250"/>
      <c r="CJ81" s="250"/>
      <c r="CK81" s="250"/>
      <c r="CL81" s="250"/>
      <c r="CM81" s="250"/>
      <c r="CN81" s="250"/>
      <c r="CO81" s="250"/>
      <c r="CP81" s="250"/>
      <c r="CQ81" s="250"/>
      <c r="CR81" s="250"/>
      <c r="CS81" s="250"/>
      <c r="CT81" s="250"/>
      <c r="CU81" s="250"/>
      <c r="CV81" s="250"/>
      <c r="CW81" s="250"/>
      <c r="DA81" s="250"/>
      <c r="DB81" s="250"/>
      <c r="DC81" s="321"/>
      <c r="DD81" s="250"/>
      <c r="DE81" s="250"/>
      <c r="DF81" s="250"/>
      <c r="DG81" s="250"/>
      <c r="DH81" s="250"/>
      <c r="DI81" s="250"/>
      <c r="DJ81" s="320"/>
      <c r="DK81" s="320"/>
      <c r="DL81" s="320"/>
    </row>
    <row r="82" spans="1:129">
      <c r="A82" s="778" t="str">
        <f>Historico!A82</f>
        <v>SCT de Transmantaro (Linea Independencia - Ica)</v>
      </c>
      <c r="B82" s="20">
        <f>+Historico!N82</f>
        <v>0.83550000000000002</v>
      </c>
      <c r="C82" s="13">
        <f t="shared" si="29"/>
        <v>0.81589999999999996</v>
      </c>
      <c r="D82" s="76">
        <f t="shared" si="36"/>
        <v>-2.3459006582884578E-2</v>
      </c>
      <c r="F82" s="13">
        <f>IF(IF(ResumenIndicadores!$F$10="Ft-1",B82,C82)=0,"",IF(ResumenIndicadores!$F$10="Ft-1",B82,C82))</f>
        <v>0.83550000000000002</v>
      </c>
      <c r="G82" s="105"/>
      <c r="H82" s="105"/>
      <c r="I82" s="105"/>
      <c r="J82" s="105"/>
      <c r="M82" s="325" t="s">
        <v>354</v>
      </c>
      <c r="N82" s="555" t="s">
        <v>108</v>
      </c>
      <c r="O82" s="553" t="s">
        <v>355</v>
      </c>
      <c r="P82" s="554" t="s">
        <v>343</v>
      </c>
      <c r="Q82" s="577">
        <v>1</v>
      </c>
      <c r="R82" s="577">
        <v>0</v>
      </c>
      <c r="S82" s="577">
        <v>0</v>
      </c>
      <c r="T82" s="577">
        <v>0</v>
      </c>
      <c r="U82" s="250"/>
      <c r="V82" s="250"/>
      <c r="W82" s="250"/>
      <c r="X82" s="325" t="s">
        <v>354</v>
      </c>
      <c r="Y82" s="555" t="s">
        <v>108</v>
      </c>
      <c r="Z82" s="553" t="s">
        <v>355</v>
      </c>
      <c r="AA82" s="554" t="s">
        <v>343</v>
      </c>
      <c r="AB82" s="612">
        <f t="shared" si="35"/>
        <v>0.81588105030053781</v>
      </c>
      <c r="AC82" s="612">
        <v>0</v>
      </c>
      <c r="AD82" s="612">
        <v>0</v>
      </c>
      <c r="AE82" s="612">
        <v>0</v>
      </c>
      <c r="AF82" s="612">
        <v>0</v>
      </c>
      <c r="AG82" s="252"/>
      <c r="AH82" s="250"/>
      <c r="AI82" s="325" t="s">
        <v>354</v>
      </c>
      <c r="AJ82" s="555" t="s">
        <v>108</v>
      </c>
      <c r="AK82" s="553" t="s">
        <v>355</v>
      </c>
      <c r="AL82" s="554" t="s">
        <v>343</v>
      </c>
      <c r="AM82" s="612">
        <f>DA64</f>
        <v>2.5790000000000002</v>
      </c>
      <c r="AN82" s="612">
        <v>0</v>
      </c>
      <c r="AO82" s="612">
        <v>0</v>
      </c>
      <c r="AP82" s="612">
        <v>0</v>
      </c>
      <c r="AQ82" s="252"/>
      <c r="AR82" s="252"/>
      <c r="AS82" s="252"/>
      <c r="AT82" s="250"/>
      <c r="AU82" s="250"/>
      <c r="AV82" s="250"/>
      <c r="AW82" s="250"/>
      <c r="AX82" s="250"/>
      <c r="AY82" s="250"/>
      <c r="AZ82" s="250"/>
      <c r="BA82" s="250"/>
      <c r="BB82" s="250"/>
      <c r="BC82" s="250"/>
      <c r="BD82" s="250"/>
      <c r="BE82" s="250"/>
      <c r="BF82" s="250"/>
      <c r="BG82" s="250"/>
      <c r="BH82" s="250"/>
      <c r="BI82" s="250"/>
      <c r="BJ82" s="250"/>
      <c r="BK82" s="250"/>
      <c r="BL82" s="250"/>
      <c r="BM82" s="250"/>
      <c r="BN82" s="250"/>
      <c r="BO82" s="250"/>
      <c r="BP82" s="250"/>
      <c r="BQ82" s="325" t="s">
        <v>354</v>
      </c>
      <c r="BR82" s="555" t="s">
        <v>108</v>
      </c>
      <c r="BS82" s="553" t="s">
        <v>355</v>
      </c>
      <c r="BT82" s="554" t="s">
        <v>343</v>
      </c>
      <c r="BU82" s="612">
        <f>DA63</f>
        <v>3.161</v>
      </c>
      <c r="BV82" s="612">
        <v>0</v>
      </c>
      <c r="BW82" s="612">
        <v>0</v>
      </c>
      <c r="BX82" s="612">
        <v>0</v>
      </c>
      <c r="BY82" s="252"/>
      <c r="BZ82" s="252"/>
      <c r="CA82" s="252"/>
      <c r="CB82" s="250"/>
      <c r="CC82" s="250"/>
      <c r="CD82" s="250"/>
      <c r="CE82" s="250"/>
      <c r="CF82" s="250"/>
      <c r="CG82" s="250"/>
      <c r="CH82" s="250"/>
      <c r="CI82" s="250"/>
      <c r="CJ82" s="250"/>
      <c r="CK82" s="250"/>
      <c r="CL82" s="250"/>
      <c r="CM82" s="250"/>
      <c r="CN82" s="250"/>
      <c r="CO82" s="250"/>
      <c r="CP82" s="250"/>
      <c r="CQ82" s="250"/>
      <c r="CR82" s="250"/>
      <c r="CS82" s="250"/>
      <c r="CT82" s="250"/>
      <c r="CU82" s="250"/>
      <c r="CV82" s="250"/>
      <c r="CW82" s="250"/>
      <c r="CX82" s="249"/>
      <c r="CY82" s="249"/>
      <c r="DA82" s="250"/>
      <c r="DB82" s="250"/>
      <c r="DC82" s="321"/>
      <c r="DD82" s="250"/>
      <c r="DE82" s="250"/>
      <c r="DF82" s="250"/>
      <c r="DG82" s="250"/>
      <c r="DH82" s="250"/>
      <c r="DI82" s="250"/>
      <c r="DJ82" s="320"/>
      <c r="DK82" s="320"/>
      <c r="DL82" s="320"/>
      <c r="DM82" s="428"/>
      <c r="DN82" s="319"/>
      <c r="DO82" s="326"/>
      <c r="DP82" s="326"/>
      <c r="DQ82" s="250"/>
      <c r="DR82" s="308"/>
      <c r="DS82" s="308"/>
      <c r="DT82" s="308"/>
      <c r="DU82" s="308"/>
      <c r="DV82" s="308"/>
      <c r="DW82" s="250"/>
      <c r="DX82" s="250"/>
      <c r="DY82" s="250"/>
    </row>
    <row r="83" spans="1:129">
      <c r="A83" s="781" t="str">
        <f>Historico!A83</f>
        <v>Peaje Unitario por Compensación</v>
      </c>
      <c r="B83" s="20"/>
      <c r="C83" s="13"/>
      <c r="D83" s="76"/>
      <c r="F83" s="13" t="str">
        <f>IF(IF(ResumenIndicadores!$F$10="Ft-1",B83,C83)=0,"",IF(ResumenIndicadores!$F$10="Ft-1",B83,C83))</f>
        <v/>
      </c>
      <c r="G83" s="105"/>
      <c r="H83" s="105"/>
      <c r="I83" s="105"/>
      <c r="J83" s="105"/>
      <c r="M83" s="556"/>
      <c r="N83" s="556"/>
      <c r="O83" s="556"/>
      <c r="P83" s="556"/>
      <c r="Q83" s="556"/>
      <c r="R83" s="556"/>
      <c r="S83" s="556"/>
      <c r="T83" s="556"/>
      <c r="U83" s="250"/>
      <c r="V83" s="250"/>
      <c r="W83" s="250"/>
      <c r="X83" s="327" t="s">
        <v>465</v>
      </c>
      <c r="Y83" s="278"/>
      <c r="Z83" s="278"/>
      <c r="AA83" s="278"/>
      <c r="AB83" s="328" t="s">
        <v>193</v>
      </c>
      <c r="AC83" s="557"/>
      <c r="AD83" s="556"/>
      <c r="AE83" s="556"/>
      <c r="AF83" s="556"/>
      <c r="AG83" s="252"/>
      <c r="AH83" s="250"/>
      <c r="AI83" s="329"/>
      <c r="AJ83" s="558"/>
      <c r="AK83" s="556"/>
      <c r="AL83" s="556"/>
      <c r="AM83" s="556"/>
      <c r="AN83" s="556"/>
      <c r="AO83" s="556"/>
      <c r="AP83" s="556"/>
      <c r="AQ83" s="252"/>
      <c r="AR83" s="252"/>
      <c r="AS83" s="252"/>
      <c r="AT83" s="250"/>
      <c r="AU83" s="250"/>
      <c r="AV83" s="250"/>
      <c r="AW83" s="250"/>
      <c r="AX83" s="250"/>
      <c r="AY83" s="250"/>
      <c r="AZ83" s="250"/>
      <c r="BA83" s="250"/>
      <c r="BB83" s="250"/>
      <c r="BC83" s="250"/>
      <c r="BD83" s="250"/>
      <c r="BE83" s="250"/>
      <c r="BF83" s="250"/>
      <c r="BG83" s="250"/>
      <c r="BH83" s="250"/>
      <c r="BI83" s="250"/>
      <c r="BJ83" s="250"/>
      <c r="BK83" s="250"/>
      <c r="BL83" s="250"/>
      <c r="BM83" s="250"/>
      <c r="BN83" s="250"/>
      <c r="BO83" s="250"/>
      <c r="BP83" s="250"/>
      <c r="BQ83" s="329"/>
      <c r="BR83" s="558"/>
      <c r="BS83" s="556"/>
      <c r="BT83" s="556"/>
      <c r="BU83" s="556"/>
      <c r="BV83" s="556"/>
      <c r="BW83" s="556"/>
      <c r="BX83" s="556"/>
      <c r="BY83" s="252"/>
      <c r="BZ83" s="252"/>
      <c r="CA83" s="252"/>
      <c r="CB83" s="250"/>
      <c r="CC83" s="250"/>
      <c r="CD83" s="250"/>
      <c r="CE83" s="250"/>
      <c r="CF83" s="250"/>
      <c r="CG83" s="250"/>
      <c r="CH83" s="250"/>
      <c r="CI83" s="250"/>
      <c r="CJ83" s="250"/>
      <c r="CK83" s="250"/>
      <c r="CL83" s="250"/>
      <c r="CM83" s="250"/>
      <c r="CN83" s="250"/>
      <c r="CO83" s="250"/>
      <c r="CP83" s="250"/>
      <c r="CQ83" s="250"/>
      <c r="CR83" s="250"/>
      <c r="CS83" s="250"/>
      <c r="CT83" s="250"/>
      <c r="CU83" s="250"/>
      <c r="CV83" s="250"/>
      <c r="CW83" s="250"/>
      <c r="CX83" s="330" t="s">
        <v>465</v>
      </c>
      <c r="CY83" s="268"/>
      <c r="CZ83" s="226" t="s">
        <v>193</v>
      </c>
      <c r="DA83" s="250"/>
      <c r="DB83" s="250"/>
      <c r="DC83" s="321"/>
      <c r="DD83" s="250"/>
      <c r="DE83" s="250"/>
      <c r="DF83" s="250"/>
      <c r="DG83" s="250"/>
      <c r="DH83" s="250"/>
      <c r="DI83" s="250"/>
      <c r="DJ83" s="320"/>
      <c r="DK83" s="320"/>
      <c r="DL83" s="320"/>
      <c r="DM83" s="428"/>
      <c r="DN83" s="319"/>
      <c r="DO83" s="326"/>
      <c r="DP83" s="326"/>
      <c r="DQ83" s="250"/>
      <c r="DR83" s="308"/>
      <c r="DS83" s="308"/>
      <c r="DT83" s="308"/>
      <c r="DU83" s="308"/>
      <c r="DV83" s="308"/>
      <c r="DW83" s="250"/>
      <c r="DX83" s="250"/>
      <c r="DY83" s="321"/>
    </row>
    <row r="84" spans="1:129">
      <c r="A84" s="778" t="str">
        <f>Historico!A84</f>
        <v>Resolucion del Peaje Unitario de Compensación (PUC)</v>
      </c>
      <c r="B84" s="20">
        <f>+Historico!N84</f>
        <v>1.1667000000000001</v>
      </c>
      <c r="C84" s="13">
        <f>AB84</f>
        <v>1.1667000000000001</v>
      </c>
      <c r="D84" s="76">
        <f t="shared" si="36"/>
        <v>0</v>
      </c>
      <c r="F84" s="13">
        <f>IF(IF(ResumenIndicadores!$F$10="Ft-1",B84,C84)=0,"",IF(ResumenIndicadores!$F$10="Ft-1",B84,C84))</f>
        <v>1.1667000000000001</v>
      </c>
      <c r="G84" s="105"/>
      <c r="H84" s="105"/>
      <c r="I84" s="105"/>
      <c r="J84" s="105"/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596" t="s">
        <v>469</v>
      </c>
      <c r="Y84" s="278"/>
      <c r="Z84" s="278"/>
      <c r="AA84" s="278"/>
      <c r="AB84" s="614">
        <f>CZ84</f>
        <v>1.1667000000000001</v>
      </c>
      <c r="AC84" s="250"/>
      <c r="AD84" s="250"/>
      <c r="AE84" s="250"/>
      <c r="AF84" s="250"/>
      <c r="AG84" s="252"/>
      <c r="AH84" s="250"/>
      <c r="AI84" s="250"/>
      <c r="AM84" s="250"/>
      <c r="AN84" s="250"/>
      <c r="AO84" s="250"/>
      <c r="AP84" s="250"/>
      <c r="AQ84" s="252"/>
      <c r="AR84" s="252"/>
      <c r="AS84" s="252"/>
      <c r="AT84" s="250"/>
      <c r="AU84" s="250"/>
      <c r="AV84" s="250"/>
      <c r="AW84" s="250"/>
      <c r="AX84" s="250"/>
      <c r="AY84" s="250"/>
      <c r="AZ84" s="250"/>
      <c r="BA84" s="250"/>
      <c r="BB84" s="250"/>
      <c r="BC84" s="250"/>
      <c r="BD84" s="250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U84" s="250"/>
      <c r="BV84" s="250"/>
      <c r="BW84" s="250"/>
      <c r="BX84" s="250"/>
      <c r="BY84" s="252"/>
      <c r="BZ84" s="252"/>
      <c r="CA84" s="252"/>
      <c r="CB84" s="250"/>
      <c r="CC84" s="250"/>
      <c r="CD84" s="250"/>
      <c r="CE84" s="250"/>
      <c r="CF84" s="250"/>
      <c r="CG84" s="250"/>
      <c r="CH84" s="250"/>
      <c r="CI84" s="250"/>
      <c r="CJ84" s="250"/>
      <c r="CK84" s="250"/>
      <c r="CL84" s="250"/>
      <c r="CM84" s="250"/>
      <c r="CN84" s="250"/>
      <c r="CO84" s="250"/>
      <c r="CP84" s="250"/>
      <c r="CQ84" s="250"/>
      <c r="CR84" s="250"/>
      <c r="CS84" s="250"/>
      <c r="CT84" s="250"/>
      <c r="CU84" s="250"/>
      <c r="CV84" s="250"/>
      <c r="CW84" s="250"/>
      <c r="CX84" s="596" t="s">
        <v>469</v>
      </c>
      <c r="CY84" s="278"/>
      <c r="CZ84" s="610">
        <v>1.1667000000000001</v>
      </c>
      <c r="DA84" s="250"/>
      <c r="DB84" s="250"/>
      <c r="DC84" s="321"/>
      <c r="DD84" s="250"/>
      <c r="DE84" s="250"/>
      <c r="DF84" s="250"/>
      <c r="DG84" s="250"/>
      <c r="DH84" s="250"/>
      <c r="DI84" s="250"/>
      <c r="DJ84" s="320"/>
      <c r="DK84" s="320"/>
      <c r="DL84" s="320"/>
      <c r="DM84" s="428"/>
      <c r="DN84" s="319"/>
      <c r="DO84" s="326"/>
      <c r="DP84" s="326"/>
      <c r="DQ84" s="250"/>
      <c r="DR84" s="308"/>
      <c r="DS84" s="308"/>
      <c r="DT84" s="308"/>
      <c r="DU84" s="308"/>
      <c r="DV84" s="308"/>
      <c r="DW84" s="250"/>
      <c r="DX84" s="250"/>
      <c r="DY84" s="250"/>
    </row>
    <row r="85" spans="1:129">
      <c r="A85" s="782" t="str">
        <f>Historico!A85</f>
        <v/>
      </c>
      <c r="B85" s="50"/>
      <c r="C85" s="14"/>
      <c r="D85" s="77"/>
      <c r="F85" s="14" t="str">
        <f>IF(IF(ResumenIndicadores!$F$10="Ft-1",B85,C85)=0,"",IF(ResumenIndicadores!$F$10="Ft-1",B85,C85))</f>
        <v/>
      </c>
      <c r="G85" s="105"/>
      <c r="H85" s="105"/>
      <c r="I85" s="105"/>
      <c r="J85" s="105"/>
      <c r="Q85" s="250"/>
      <c r="R85" s="250"/>
      <c r="S85" s="250"/>
      <c r="T85" s="250"/>
      <c r="U85" s="250"/>
      <c r="V85" s="250"/>
      <c r="W85" s="250"/>
      <c r="AB85" s="249"/>
      <c r="AC85" s="250"/>
      <c r="AD85" s="250"/>
      <c r="AE85" s="250"/>
      <c r="AF85" s="249"/>
      <c r="AG85" s="252"/>
      <c r="AH85" s="250"/>
      <c r="AI85" s="250"/>
      <c r="AJ85" s="250"/>
      <c r="AM85" s="250"/>
      <c r="AN85" s="250"/>
      <c r="AO85" s="250"/>
      <c r="AP85" s="250"/>
      <c r="AQ85" s="252"/>
      <c r="AR85" s="252"/>
      <c r="AS85" s="252"/>
      <c r="AT85" s="250"/>
      <c r="AU85" s="250"/>
      <c r="AV85" s="250"/>
      <c r="AW85" s="250"/>
      <c r="AX85" s="250"/>
      <c r="AY85" s="250"/>
      <c r="AZ85" s="250"/>
      <c r="BA85" s="250"/>
      <c r="BB85" s="250"/>
      <c r="BC85" s="250"/>
      <c r="BD85" s="250"/>
      <c r="BE85" s="250"/>
      <c r="BF85" s="250"/>
      <c r="BG85" s="250"/>
      <c r="BH85" s="250"/>
      <c r="BI85" s="250"/>
      <c r="BJ85" s="250"/>
      <c r="BK85" s="250"/>
      <c r="BL85" s="250"/>
      <c r="BM85" s="250"/>
      <c r="BN85" s="250"/>
      <c r="BO85" s="250"/>
      <c r="BP85" s="250"/>
      <c r="BQ85" s="250"/>
      <c r="BR85" s="250"/>
      <c r="BU85" s="250"/>
      <c r="BV85" s="250"/>
      <c r="BW85" s="250"/>
      <c r="BX85" s="250"/>
      <c r="BY85" s="252"/>
      <c r="BZ85" s="252"/>
      <c r="CA85" s="252"/>
      <c r="CB85" s="250"/>
      <c r="CC85" s="250"/>
      <c r="CD85" s="250"/>
      <c r="CE85" s="250"/>
      <c r="CF85" s="250"/>
      <c r="CG85" s="250"/>
      <c r="CH85" s="250"/>
      <c r="CI85" s="250"/>
      <c r="CJ85" s="250"/>
      <c r="CK85" s="250"/>
      <c r="CL85" s="250"/>
      <c r="CM85" s="250"/>
      <c r="CN85" s="250"/>
      <c r="CO85" s="250"/>
      <c r="CP85" s="250"/>
      <c r="CQ85" s="250"/>
      <c r="CR85" s="250"/>
      <c r="CS85" s="250"/>
      <c r="CT85" s="250"/>
      <c r="CU85" s="250"/>
      <c r="CV85" s="250"/>
      <c r="CW85" s="250"/>
      <c r="CX85" s="249"/>
      <c r="CY85" s="249"/>
      <c r="DA85" s="250"/>
      <c r="DB85" s="250"/>
      <c r="DC85" s="321"/>
      <c r="DD85" s="250"/>
      <c r="DE85" s="250"/>
      <c r="DF85" s="250"/>
      <c r="DG85" s="250"/>
      <c r="DH85" s="250"/>
      <c r="DI85" s="250"/>
      <c r="DJ85" s="320"/>
      <c r="DK85" s="320"/>
      <c r="DL85" s="320"/>
      <c r="DM85" s="428"/>
      <c r="DN85" s="319"/>
      <c r="DO85" s="326"/>
      <c r="DP85" s="326"/>
      <c r="DQ85" s="250"/>
      <c r="DR85" s="308"/>
      <c r="DS85" s="308"/>
      <c r="DT85" s="308"/>
      <c r="DU85" s="308"/>
      <c r="DV85" s="308"/>
      <c r="DW85" s="250"/>
      <c r="DX85" s="250"/>
      <c r="DY85" s="321"/>
    </row>
    <row r="86" spans="1:129">
      <c r="A86" s="783">
        <f>Historico!A86</f>
        <v>0</v>
      </c>
      <c r="B86" s="23"/>
      <c r="C86" s="24"/>
      <c r="D86" s="95"/>
      <c r="F86" s="24" t="str">
        <f>IF(IF(ResumenIndicadores!$F$11="Ft-1",B86,C86)=0,"",IF(ResumenIndicadores!$F$11="Ft-1",B86,C86))</f>
        <v/>
      </c>
      <c r="G86" s="105"/>
      <c r="H86" s="105"/>
      <c r="I86" s="105"/>
      <c r="J86" s="105"/>
      <c r="M86" s="250"/>
      <c r="N86" s="250"/>
      <c r="O86" s="250"/>
      <c r="S86" s="250"/>
      <c r="T86" s="250"/>
      <c r="U86" s="250"/>
      <c r="V86" s="250"/>
      <c r="W86" s="250"/>
      <c r="X86" s="250"/>
      <c r="Y86" s="250"/>
      <c r="Z86" s="250"/>
      <c r="AB86" s="249"/>
      <c r="AC86" s="249"/>
      <c r="AD86" s="250"/>
      <c r="AE86" s="250"/>
      <c r="AF86" s="252"/>
      <c r="AG86" s="252"/>
      <c r="AH86" s="250"/>
      <c r="AI86" s="250"/>
      <c r="AJ86" s="250"/>
      <c r="AK86" s="250"/>
      <c r="AM86" s="249"/>
      <c r="AN86" s="249"/>
      <c r="AO86" s="250"/>
      <c r="AP86" s="250"/>
      <c r="AQ86" s="252"/>
      <c r="AR86" s="1"/>
      <c r="AS86" s="252"/>
      <c r="AT86" s="331" t="s">
        <v>387</v>
      </c>
      <c r="AU86" s="317"/>
      <c r="AV86" s="317"/>
      <c r="AW86" s="317"/>
      <c r="AX86" s="317"/>
      <c r="AY86" s="317"/>
      <c r="AZ86" s="317"/>
      <c r="BA86" s="331" t="s">
        <v>491</v>
      </c>
      <c r="BB86" s="317"/>
      <c r="BC86" s="317"/>
      <c r="BD86" s="317"/>
      <c r="BE86" s="317"/>
      <c r="BF86" s="317"/>
      <c r="BG86" s="301"/>
      <c r="BH86" s="250"/>
      <c r="BI86" s="250"/>
      <c r="BJ86" s="250"/>
      <c r="BK86" s="250"/>
      <c r="BL86" s="250"/>
      <c r="BM86" s="250"/>
      <c r="BN86" s="250"/>
      <c r="BO86" s="250"/>
      <c r="BP86" s="250"/>
      <c r="BQ86" s="250"/>
      <c r="BR86" s="250"/>
      <c r="BS86" s="250"/>
      <c r="BU86" s="249"/>
      <c r="BV86" s="249"/>
      <c r="BW86" s="250"/>
      <c r="BX86" s="250"/>
      <c r="BY86" s="252"/>
      <c r="BZ86" s="1"/>
      <c r="CA86" s="252"/>
      <c r="CB86" s="331" t="s">
        <v>387</v>
      </c>
      <c r="CC86" s="317"/>
      <c r="CD86" s="317"/>
      <c r="CE86" s="317"/>
      <c r="CF86" s="317"/>
      <c r="CG86" s="317"/>
      <c r="CH86" s="317"/>
      <c r="CI86" s="331" t="s">
        <v>491</v>
      </c>
      <c r="CJ86" s="317"/>
      <c r="CK86" s="317"/>
      <c r="CL86" s="317"/>
      <c r="CM86" s="317"/>
      <c r="CN86" s="317"/>
      <c r="CO86" s="301"/>
      <c r="CP86" s="250"/>
      <c r="CQ86" s="250"/>
      <c r="CR86" s="250"/>
      <c r="CS86" s="250"/>
      <c r="CT86" s="250"/>
      <c r="CU86" s="250"/>
      <c r="CV86" s="250"/>
      <c r="CW86" s="250"/>
      <c r="CX86" s="249"/>
      <c r="CY86" s="308"/>
      <c r="CZ86" s="308"/>
      <c r="DA86" s="250"/>
      <c r="DB86" s="250"/>
      <c r="DC86" s="321"/>
      <c r="DD86" s="250"/>
      <c r="DE86" s="250"/>
      <c r="DF86" s="250"/>
      <c r="DG86" s="250"/>
      <c r="DH86" s="250"/>
      <c r="DI86" s="250"/>
      <c r="DT86" s="250"/>
      <c r="DU86" s="250"/>
      <c r="DV86" s="250"/>
      <c r="DY86" s="266"/>
    </row>
    <row r="87" spans="1:129">
      <c r="A87" s="775" t="str">
        <f>Historico!A87</f>
        <v>C.1 DISTRIBUCIÓN - VAD Y CARGOS FIJOS (Res. N° 181-2009-OS/CD)</v>
      </c>
      <c r="B87" s="15" t="str">
        <f>+Historico!N87</f>
        <v/>
      </c>
      <c r="C87" s="12"/>
      <c r="D87" s="146"/>
      <c r="F87" s="12" t="str">
        <f>IF(IF(ResumenIndicadores!$F$11="Ft-1",B87,C87)=0,"",IF(ResumenIndicadores!$F$11="Ft-1",B87,C87))</f>
        <v/>
      </c>
      <c r="G87" s="106"/>
      <c r="H87" s="106"/>
      <c r="I87" s="106"/>
      <c r="J87" s="106"/>
      <c r="M87" s="428" t="s">
        <v>437</v>
      </c>
      <c r="N87" s="562"/>
      <c r="Q87" s="315" t="s">
        <v>406</v>
      </c>
      <c r="R87" s="559" t="s">
        <v>436</v>
      </c>
      <c r="S87" s="559" t="s">
        <v>434</v>
      </c>
      <c r="T87" s="559" t="s">
        <v>435</v>
      </c>
      <c r="X87" s="428" t="s">
        <v>438</v>
      </c>
      <c r="Y87" s="562"/>
      <c r="AB87" s="315" t="s">
        <v>406</v>
      </c>
      <c r="AC87" s="559" t="s">
        <v>436</v>
      </c>
      <c r="AD87" s="559" t="s">
        <v>434</v>
      </c>
      <c r="AE87" s="559" t="s">
        <v>435</v>
      </c>
      <c r="AI87" s="428" t="s">
        <v>439</v>
      </c>
      <c r="AJ87" s="562"/>
      <c r="AM87" s="315" t="s">
        <v>406</v>
      </c>
      <c r="AN87" s="559" t="s">
        <v>436</v>
      </c>
      <c r="AO87" s="559" t="s">
        <v>434</v>
      </c>
      <c r="AP87" s="559" t="s">
        <v>435</v>
      </c>
      <c r="AR87" s="1"/>
      <c r="AS87" s="253" t="s">
        <v>152</v>
      </c>
      <c r="AT87" s="560" t="s">
        <v>99</v>
      </c>
      <c r="AU87" s="560" t="s">
        <v>150</v>
      </c>
      <c r="AV87" s="560" t="s">
        <v>100</v>
      </c>
      <c r="AW87" s="560" t="s">
        <v>101</v>
      </c>
      <c r="AX87" s="560" t="s">
        <v>102</v>
      </c>
      <c r="AY87" s="560" t="s">
        <v>151</v>
      </c>
      <c r="AZ87" s="561" t="s">
        <v>103</v>
      </c>
      <c r="BA87" s="560" t="s">
        <v>99</v>
      </c>
      <c r="BB87" s="560" t="s">
        <v>150</v>
      </c>
      <c r="BC87" s="560" t="s">
        <v>100</v>
      </c>
      <c r="BD87" s="560" t="s">
        <v>101</v>
      </c>
      <c r="BE87" s="560" t="s">
        <v>102</v>
      </c>
      <c r="BF87" s="560" t="s">
        <v>151</v>
      </c>
      <c r="BG87" s="560" t="s">
        <v>103</v>
      </c>
      <c r="BQ87" s="428" t="s">
        <v>440</v>
      </c>
      <c r="BR87" s="562"/>
      <c r="BU87" s="315" t="s">
        <v>406</v>
      </c>
      <c r="BV87" s="559" t="s">
        <v>436</v>
      </c>
      <c r="BW87" s="559" t="s">
        <v>434</v>
      </c>
      <c r="BX87" s="559" t="s">
        <v>435</v>
      </c>
      <c r="BZ87" s="1"/>
      <c r="CA87" s="253" t="s">
        <v>490</v>
      </c>
      <c r="CB87" s="560" t="s">
        <v>99</v>
      </c>
      <c r="CC87" s="560" t="s">
        <v>150</v>
      </c>
      <c r="CD87" s="560" t="s">
        <v>100</v>
      </c>
      <c r="CE87" s="560" t="s">
        <v>101</v>
      </c>
      <c r="CF87" s="560" t="s">
        <v>102</v>
      </c>
      <c r="CG87" s="560" t="s">
        <v>151</v>
      </c>
      <c r="CH87" s="561" t="s">
        <v>103</v>
      </c>
      <c r="CI87" s="560" t="s">
        <v>99</v>
      </c>
      <c r="CJ87" s="560" t="s">
        <v>150</v>
      </c>
      <c r="CK87" s="560" t="s">
        <v>100</v>
      </c>
      <c r="CL87" s="560" t="s">
        <v>101</v>
      </c>
      <c r="CM87" s="560" t="s">
        <v>102</v>
      </c>
      <c r="CN87" s="560" t="s">
        <v>151</v>
      </c>
      <c r="CO87" s="560" t="s">
        <v>103</v>
      </c>
      <c r="CX87" s="428" t="s">
        <v>328</v>
      </c>
      <c r="CY87" s="257"/>
      <c r="CZ87" s="332"/>
      <c r="DA87" s="250"/>
      <c r="DB87" s="250"/>
      <c r="DC87" s="333"/>
      <c r="DD87" s="250"/>
      <c r="DY87" s="266"/>
    </row>
    <row r="88" spans="1:129">
      <c r="A88" s="775" t="str">
        <f>Historico!A88</f>
        <v>1. VALOR AGREGADO DE DISTRIBUCIÓN EN MT (FAVADMT)</v>
      </c>
      <c r="B88" s="15" t="str">
        <f>+Historico!N88</f>
        <v/>
      </c>
      <c r="C88" s="12"/>
      <c r="D88" s="28"/>
      <c r="F88" s="12" t="str">
        <f>IF(IF(ResumenIndicadores!$F$11="Ft-1",B88,C88)=0,"",IF(ResumenIndicadores!$F$11="Ft-1",B88,C88))</f>
        <v/>
      </c>
      <c r="G88" s="106"/>
      <c r="H88" s="106"/>
      <c r="I88" s="106"/>
      <c r="J88" s="106"/>
      <c r="M88" s="562" t="s">
        <v>473</v>
      </c>
      <c r="N88" s="562"/>
      <c r="Q88" s="334" t="s">
        <v>74</v>
      </c>
      <c r="R88" s="334" t="s">
        <v>75</v>
      </c>
      <c r="S88" s="334" t="s">
        <v>76</v>
      </c>
      <c r="T88" s="334" t="s">
        <v>77</v>
      </c>
      <c r="X88" s="562" t="s">
        <v>473</v>
      </c>
      <c r="Y88" s="562"/>
      <c r="AB88" s="334" t="s">
        <v>74</v>
      </c>
      <c r="AC88" s="334" t="s">
        <v>75</v>
      </c>
      <c r="AD88" s="334" t="s">
        <v>76</v>
      </c>
      <c r="AE88" s="334" t="s">
        <v>77</v>
      </c>
      <c r="AI88" s="562" t="s">
        <v>473</v>
      </c>
      <c r="AJ88" s="562"/>
      <c r="AM88" s="334" t="s">
        <v>74</v>
      </c>
      <c r="AN88" s="334" t="s">
        <v>75</v>
      </c>
      <c r="AO88" s="334" t="s">
        <v>76</v>
      </c>
      <c r="AP88" s="334" t="s">
        <v>77</v>
      </c>
      <c r="AR88" s="1"/>
      <c r="AS88" s="335" t="s">
        <v>153</v>
      </c>
      <c r="AT88" s="336"/>
      <c r="AU88" s="337"/>
      <c r="AV88" s="337"/>
      <c r="AW88" s="337"/>
      <c r="AX88" s="337"/>
      <c r="AY88" s="337"/>
      <c r="AZ88" s="338"/>
      <c r="BA88" s="336"/>
      <c r="BB88" s="337"/>
      <c r="BC88" s="337"/>
      <c r="BD88" s="337"/>
      <c r="BE88" s="337"/>
      <c r="BF88" s="337"/>
      <c r="BG88" s="338"/>
      <c r="BQ88" s="562" t="s">
        <v>473</v>
      </c>
      <c r="BR88" s="562"/>
      <c r="BU88" s="334" t="s">
        <v>74</v>
      </c>
      <c r="BV88" s="334" t="s">
        <v>75</v>
      </c>
      <c r="BW88" s="334" t="s">
        <v>76</v>
      </c>
      <c r="BX88" s="334" t="s">
        <v>77</v>
      </c>
      <c r="BZ88" s="1"/>
      <c r="CA88" s="335" t="s">
        <v>153</v>
      </c>
      <c r="CB88" s="336"/>
      <c r="CC88" s="337"/>
      <c r="CD88" s="337"/>
      <c r="CE88" s="337"/>
      <c r="CF88" s="337"/>
      <c r="CG88" s="337"/>
      <c r="CH88" s="338"/>
      <c r="CI88" s="336"/>
      <c r="CJ88" s="337"/>
      <c r="CK88" s="337"/>
      <c r="CL88" s="337"/>
      <c r="CM88" s="337"/>
      <c r="CN88" s="337"/>
      <c r="CO88" s="338"/>
      <c r="CX88" s="339"/>
      <c r="CY88" s="260" t="s">
        <v>10</v>
      </c>
      <c r="CZ88" s="261" t="s">
        <v>0</v>
      </c>
      <c r="DA88" s="261" t="s">
        <v>11</v>
      </c>
      <c r="DB88" s="261" t="s">
        <v>72</v>
      </c>
      <c r="DC88" s="261" t="s">
        <v>73</v>
      </c>
      <c r="DD88" s="250"/>
      <c r="DY88" s="266"/>
    </row>
    <row r="89" spans="1:129">
      <c r="A89" s="783" t="str">
        <f>Historico!A89</f>
        <v xml:space="preserve">           a) Sector 1</v>
      </c>
      <c r="B89" s="16">
        <f>+Historico!N89</f>
        <v>0.97619999999999996</v>
      </c>
      <c r="C89" s="55">
        <f t="shared" ref="C89:C98" si="37">ROUND(Q89*AB89+R89*AC89+S89*AD89+T89*AE89,4)</f>
        <v>0.97309999999999997</v>
      </c>
      <c r="D89" s="76">
        <f t="shared" ref="D89:D98" si="38">+C89/B89-1</f>
        <v>-3.1755787748412034E-3</v>
      </c>
      <c r="F89" s="55">
        <f>IF(IF(ResumenIndicadores!$F$11="Ft-1",B89,C89)=0,"",IF(ResumenIndicadores!$F$11="Ft-1",B89,C89))</f>
        <v>0.97619999999999996</v>
      </c>
      <c r="G89" s="107"/>
      <c r="H89" s="107"/>
      <c r="I89" s="107"/>
      <c r="J89" s="107"/>
      <c r="M89" s="340" t="s">
        <v>93</v>
      </c>
      <c r="N89" s="341"/>
      <c r="O89" s="278"/>
      <c r="P89" s="279"/>
      <c r="Q89" s="576">
        <v>0.76970000000000005</v>
      </c>
      <c r="R89" s="576">
        <v>6.7500000000000004E-2</v>
      </c>
      <c r="S89" s="576">
        <v>2.1600000000000001E-2</v>
      </c>
      <c r="T89" s="576">
        <v>0.14119999999999999</v>
      </c>
      <c r="X89" s="340" t="s">
        <v>93</v>
      </c>
      <c r="Y89" s="341"/>
      <c r="Z89" s="278"/>
      <c r="AA89" s="279"/>
      <c r="AB89" s="611">
        <f t="shared" ref="AB89:AB98" si="39">AM89/BU89</f>
        <v>1.0499749371615812</v>
      </c>
      <c r="AC89" s="611">
        <f t="shared" ref="AC89:AC98" si="40">AN89/BV89</f>
        <v>0.82081476766390837</v>
      </c>
      <c r="AD89" s="611">
        <f>AO89/BW89</f>
        <v>0.85586590855583955</v>
      </c>
      <c r="AE89" s="611">
        <f t="shared" ref="AE89:AE98" si="41">AP89/BX89</f>
        <v>0.64450105473456876</v>
      </c>
      <c r="AI89" s="340" t="s">
        <v>93</v>
      </c>
      <c r="AJ89" s="341"/>
      <c r="AK89" s="278"/>
      <c r="AL89" s="279"/>
      <c r="AM89" s="611">
        <f>CZ90</f>
        <v>208.463032</v>
      </c>
      <c r="AN89" s="611">
        <f>DA90*(1+AS89)</f>
        <v>2.5790000000000002</v>
      </c>
      <c r="AO89" s="611">
        <f>DB90*DA90*(1+DA121)</f>
        <v>924.80790833333344</v>
      </c>
      <c r="AP89" s="611">
        <f>DC90*DA90*(1+DA122)</f>
        <v>5223.180554884616</v>
      </c>
      <c r="AR89" s="1"/>
      <c r="AS89" s="621">
        <f t="shared" ref="AS89:AS98" si="42">AT89*BA89+AU89*BB89+AV89*BC89+AW89*BD89+AX89*BE89+AY89*BF89+AZ89*BG89</f>
        <v>0</v>
      </c>
      <c r="AT89" s="622">
        <f>CZ92</f>
        <v>0.15129999999999999</v>
      </c>
      <c r="AU89" s="623">
        <f>CZ93</f>
        <v>5.9299999999999999E-2</v>
      </c>
      <c r="AV89" s="623">
        <f>CZ94</f>
        <v>3.1199999999999999E-2</v>
      </c>
      <c r="AW89" s="623">
        <f>CZ95</f>
        <v>0.75219999999999998</v>
      </c>
      <c r="AX89" s="623">
        <f>CZ96</f>
        <v>0</v>
      </c>
      <c r="AY89" s="623">
        <f>CZ97</f>
        <v>6.0000000000000001E-3</v>
      </c>
      <c r="AZ89" s="624">
        <f>CZ98</f>
        <v>0</v>
      </c>
      <c r="BA89" s="622">
        <f>DA114</f>
        <v>0</v>
      </c>
      <c r="BB89" s="623">
        <f>DA115</f>
        <v>0</v>
      </c>
      <c r="BC89" s="623">
        <f>DA116</f>
        <v>0</v>
      </c>
      <c r="BD89" s="623">
        <f>DA117</f>
        <v>0</v>
      </c>
      <c r="BE89" s="623">
        <f>DA118</f>
        <v>0.06</v>
      </c>
      <c r="BF89" s="623">
        <f>DA119</f>
        <v>0</v>
      </c>
      <c r="BG89" s="624">
        <f>DA120</f>
        <v>0</v>
      </c>
      <c r="BQ89" s="340" t="s">
        <v>93</v>
      </c>
      <c r="BR89" s="341"/>
      <c r="BS89" s="278"/>
      <c r="BT89" s="279"/>
      <c r="BU89" s="611">
        <f>CZ89</f>
        <v>198.54096000000001</v>
      </c>
      <c r="BV89" s="611">
        <f>DA89*(1+CA89)</f>
        <v>3.1419999999999999</v>
      </c>
      <c r="BW89" s="611">
        <f>DB89*DA89*(1+CZ121)</f>
        <v>1080.5523378</v>
      </c>
      <c r="BX89" s="611">
        <f>DC89*DA89*(1+CZ122)</f>
        <v>8104.2234400000007</v>
      </c>
      <c r="BZ89" s="1"/>
      <c r="CA89" s="621">
        <f t="shared" ref="CA89:CA98" si="43">CB89*CI89+CC89*CJ89+CD89*CK89+CE89*CL89+CF89*CM89+CG89*CN89+CH89*CO89</f>
        <v>0</v>
      </c>
      <c r="CB89" s="622">
        <f>CZ92</f>
        <v>0.15129999999999999</v>
      </c>
      <c r="CC89" s="623">
        <f>CZ93</f>
        <v>5.9299999999999999E-2</v>
      </c>
      <c r="CD89" s="623">
        <f>CZ94</f>
        <v>3.1199999999999999E-2</v>
      </c>
      <c r="CE89" s="623">
        <f>CZ95</f>
        <v>0.75219999999999998</v>
      </c>
      <c r="CF89" s="623">
        <f>CZ96</f>
        <v>0</v>
      </c>
      <c r="CG89" s="623">
        <f>CZ97</f>
        <v>6.0000000000000001E-3</v>
      </c>
      <c r="CH89" s="624">
        <f>CZ98</f>
        <v>0</v>
      </c>
      <c r="CI89" s="622">
        <f>CZ114</f>
        <v>0</v>
      </c>
      <c r="CJ89" s="623">
        <f>CZ115</f>
        <v>0</v>
      </c>
      <c r="CK89" s="623">
        <f>CZ116</f>
        <v>0</v>
      </c>
      <c r="CL89" s="623">
        <f>CZ117</f>
        <v>0</v>
      </c>
      <c r="CM89" s="623">
        <f>CZ118</f>
        <v>0.09</v>
      </c>
      <c r="CN89" s="623">
        <f>CZ119</f>
        <v>0</v>
      </c>
      <c r="CO89" s="624">
        <f>CZ120</f>
        <v>0</v>
      </c>
      <c r="CX89" s="243" t="s">
        <v>1</v>
      </c>
      <c r="CY89" s="271" t="s">
        <v>174</v>
      </c>
      <c r="CZ89" s="637">
        <v>198.54096000000001</v>
      </c>
      <c r="DA89" s="646">
        <v>3.1419999999999999</v>
      </c>
      <c r="DB89" s="646">
        <v>315.51</v>
      </c>
      <c r="DC89" s="646">
        <v>2579.3200000000002</v>
      </c>
      <c r="DD89" s="250"/>
    </row>
    <row r="90" spans="1:129">
      <c r="A90" s="783" t="str">
        <f>Historico!A90</f>
        <v xml:space="preserve">           b) Sector 2</v>
      </c>
      <c r="B90" s="16">
        <f>+Historico!N90</f>
        <v>1.0052000000000001</v>
      </c>
      <c r="C90" s="55">
        <f t="shared" si="37"/>
        <v>1.0024</v>
      </c>
      <c r="D90" s="76">
        <f t="shared" si="38"/>
        <v>-2.7855153203344418E-3</v>
      </c>
      <c r="F90" s="55">
        <f>IF(IF(ResumenIndicadores!$F$11="Ft-1",B90,C90)=0,"",IF(ResumenIndicadores!$F$11="Ft-1",B90,C90))</f>
        <v>1.0052000000000001</v>
      </c>
      <c r="G90" s="107"/>
      <c r="H90" s="107"/>
      <c r="I90" s="107"/>
      <c r="J90" s="107"/>
      <c r="M90" s="340" t="s">
        <v>94</v>
      </c>
      <c r="N90" s="341"/>
      <c r="O90" s="278"/>
      <c r="P90" s="279"/>
      <c r="Q90" s="576">
        <v>0.85719999999999996</v>
      </c>
      <c r="R90" s="576">
        <v>2.8400000000000002E-2</v>
      </c>
      <c r="S90" s="576">
        <v>2.5000000000000001E-2</v>
      </c>
      <c r="T90" s="576">
        <v>8.9399999999999993E-2</v>
      </c>
      <c r="X90" s="340" t="s">
        <v>94</v>
      </c>
      <c r="Y90" s="341"/>
      <c r="Z90" s="278"/>
      <c r="AA90" s="279"/>
      <c r="AB90" s="611">
        <f t="shared" si="39"/>
        <v>1.0499749371615812</v>
      </c>
      <c r="AC90" s="611">
        <f t="shared" si="40"/>
        <v>0.82081476766390837</v>
      </c>
      <c r="AD90" s="611">
        <f t="shared" ref="AD90:AD98" si="44">AO90/BW90</f>
        <v>0.85586590855583955</v>
      </c>
      <c r="AE90" s="611">
        <f t="shared" si="41"/>
        <v>0.64450105473456876</v>
      </c>
      <c r="AI90" s="340" t="s">
        <v>94</v>
      </c>
      <c r="AJ90" s="341"/>
      <c r="AK90" s="278"/>
      <c r="AL90" s="279"/>
      <c r="AM90" s="611">
        <f>CZ90</f>
        <v>208.463032</v>
      </c>
      <c r="AN90" s="611">
        <f>DA90*(1+AS90)</f>
        <v>2.5790000000000002</v>
      </c>
      <c r="AO90" s="611">
        <f>DB90*DA90*(1+DA121)</f>
        <v>924.80790833333344</v>
      </c>
      <c r="AP90" s="611">
        <f>DC90*DA90*(1+DA122)</f>
        <v>5223.180554884616</v>
      </c>
      <c r="AR90" s="1"/>
      <c r="AS90" s="621">
        <f t="shared" si="42"/>
        <v>0</v>
      </c>
      <c r="AT90" s="622">
        <f>DA92</f>
        <v>0.3639</v>
      </c>
      <c r="AU90" s="623">
        <f>DA93</f>
        <v>0</v>
      </c>
      <c r="AV90" s="623">
        <f>DA94</f>
        <v>7.1000000000000004E-3</v>
      </c>
      <c r="AW90" s="623">
        <f>DA95</f>
        <v>0.48060000000000003</v>
      </c>
      <c r="AX90" s="623">
        <f>DA96</f>
        <v>0</v>
      </c>
      <c r="AY90" s="623">
        <f>DA97</f>
        <v>0.1484</v>
      </c>
      <c r="AZ90" s="624">
        <f>DA98</f>
        <v>0</v>
      </c>
      <c r="BA90" s="622">
        <f>DA114</f>
        <v>0</v>
      </c>
      <c r="BB90" s="623">
        <f>DA115</f>
        <v>0</v>
      </c>
      <c r="BC90" s="623">
        <f>DA116</f>
        <v>0</v>
      </c>
      <c r="BD90" s="623">
        <f>DA117</f>
        <v>0</v>
      </c>
      <c r="BE90" s="623">
        <f>DA118</f>
        <v>0.06</v>
      </c>
      <c r="BF90" s="623">
        <f>DA119</f>
        <v>0</v>
      </c>
      <c r="BG90" s="624">
        <f>DA120</f>
        <v>0</v>
      </c>
      <c r="BQ90" s="340" t="s">
        <v>94</v>
      </c>
      <c r="BR90" s="341"/>
      <c r="BS90" s="278"/>
      <c r="BT90" s="279"/>
      <c r="BU90" s="611">
        <f>CZ89</f>
        <v>198.54096000000001</v>
      </c>
      <c r="BV90" s="611">
        <f>DA89*(1+CA90)</f>
        <v>3.1419999999999999</v>
      </c>
      <c r="BW90" s="611">
        <f>DB89*DA89*(1+CZ121)</f>
        <v>1080.5523378</v>
      </c>
      <c r="BX90" s="611">
        <f>DC89*DA89*(1+CZ122)</f>
        <v>8104.2234400000007</v>
      </c>
      <c r="BZ90" s="1"/>
      <c r="CA90" s="621">
        <f t="shared" si="43"/>
        <v>0</v>
      </c>
      <c r="CB90" s="622">
        <f>DA92</f>
        <v>0.3639</v>
      </c>
      <c r="CC90" s="623">
        <f>DA93</f>
        <v>0</v>
      </c>
      <c r="CD90" s="623">
        <f>DA94</f>
        <v>7.1000000000000004E-3</v>
      </c>
      <c r="CE90" s="623">
        <f>DA95</f>
        <v>0.48060000000000003</v>
      </c>
      <c r="CF90" s="623">
        <f>DA96</f>
        <v>0</v>
      </c>
      <c r="CG90" s="623">
        <f>DA97</f>
        <v>0.1484</v>
      </c>
      <c r="CH90" s="624">
        <f>DA98</f>
        <v>0</v>
      </c>
      <c r="CI90" s="622">
        <f>CZ114</f>
        <v>0</v>
      </c>
      <c r="CJ90" s="623">
        <f>CZ115</f>
        <v>0</v>
      </c>
      <c r="CK90" s="623">
        <f>CZ116</f>
        <v>0</v>
      </c>
      <c r="CL90" s="623">
        <f>CZ117</f>
        <v>0</v>
      </c>
      <c r="CM90" s="623">
        <f>CZ118</f>
        <v>0.09</v>
      </c>
      <c r="CN90" s="623">
        <f>CZ119</f>
        <v>0</v>
      </c>
      <c r="CO90" s="624">
        <f>CZ120</f>
        <v>0</v>
      </c>
      <c r="CX90" s="49" t="s">
        <v>4</v>
      </c>
      <c r="CY90" s="273" t="s">
        <v>702</v>
      </c>
      <c r="CZ90" s="342">
        <f>+'ALUMINIO-COBRE-TC-IPM'!H8</f>
        <v>208.463032</v>
      </c>
      <c r="DA90" s="343">
        <f>+'ALUMINIO-COBRE-TC-IPM'!G8</f>
        <v>2.5790000000000002</v>
      </c>
      <c r="DB90" s="343">
        <f>+'ALUMINIO-COBRE-TC-IPM'!F8</f>
        <v>358.5916666666667</v>
      </c>
      <c r="DC90" s="343">
        <f>+'ALUMINIO-COBRE-TC-IPM'!E8</f>
        <v>2025.2735769230769</v>
      </c>
      <c r="DD90" s="250"/>
    </row>
    <row r="91" spans="1:129">
      <c r="A91" s="783" t="str">
        <f>Historico!A91</f>
        <v xml:space="preserve">           c) Sector 3</v>
      </c>
      <c r="B91" s="16">
        <f>+Historico!N91</f>
        <v>1.0014000000000001</v>
      </c>
      <c r="C91" s="55">
        <f t="shared" si="37"/>
        <v>1</v>
      </c>
      <c r="D91" s="76">
        <f t="shared" si="38"/>
        <v>-1.3980427401638629E-3</v>
      </c>
      <c r="F91" s="55">
        <f>IF(IF(ResumenIndicadores!$F$11="Ft-1",B91,C91)=0,"",IF(ResumenIndicadores!$F$11="Ft-1",B91,C91))</f>
        <v>1.0014000000000001</v>
      </c>
      <c r="G91" s="107"/>
      <c r="H91" s="107"/>
      <c r="I91" s="107"/>
      <c r="J91" s="107"/>
      <c r="M91" s="340" t="s">
        <v>95</v>
      </c>
      <c r="N91" s="341"/>
      <c r="O91" s="278"/>
      <c r="P91" s="279"/>
      <c r="Q91" s="576">
        <v>0.75339999999999996</v>
      </c>
      <c r="R91" s="576">
        <v>2.53E-2</v>
      </c>
      <c r="S91" s="576">
        <v>0.21529999999999999</v>
      </c>
      <c r="T91" s="576">
        <v>6.0000000000000001E-3</v>
      </c>
      <c r="X91" s="340" t="s">
        <v>95</v>
      </c>
      <c r="Y91" s="341"/>
      <c r="Z91" s="278"/>
      <c r="AA91" s="279"/>
      <c r="AB91" s="611">
        <f t="shared" si="39"/>
        <v>1.0499749371615812</v>
      </c>
      <c r="AC91" s="611">
        <f t="shared" si="40"/>
        <v>0.82081476766390837</v>
      </c>
      <c r="AD91" s="611">
        <f t="shared" si="44"/>
        <v>0.85586590855583955</v>
      </c>
      <c r="AE91" s="611">
        <f t="shared" si="41"/>
        <v>0.64450105473456876</v>
      </c>
      <c r="AI91" s="340" t="s">
        <v>95</v>
      </c>
      <c r="AJ91" s="341"/>
      <c r="AK91" s="278"/>
      <c r="AL91" s="279"/>
      <c r="AM91" s="611">
        <f>CZ90</f>
        <v>208.463032</v>
      </c>
      <c r="AN91" s="611">
        <f>DA90*(1+AS91)</f>
        <v>2.5790000000000002</v>
      </c>
      <c r="AO91" s="611">
        <f>DB90*DA90*(1+DA121)</f>
        <v>924.80790833333344</v>
      </c>
      <c r="AP91" s="611">
        <f>DC90*DA90*(1+DA122)</f>
        <v>5223.180554884616</v>
      </c>
      <c r="AR91" s="1"/>
      <c r="AS91" s="621">
        <f t="shared" si="42"/>
        <v>0</v>
      </c>
      <c r="AT91" s="622">
        <f>DB92</f>
        <v>0.35949999999999999</v>
      </c>
      <c r="AU91" s="623">
        <f>DB93</f>
        <v>0</v>
      </c>
      <c r="AV91" s="623">
        <f>DB94</f>
        <v>6.8900000000000003E-2</v>
      </c>
      <c r="AW91" s="623">
        <f>DB95</f>
        <v>0.40699999999999997</v>
      </c>
      <c r="AX91" s="623">
        <f>DB96</f>
        <v>0</v>
      </c>
      <c r="AY91" s="623">
        <f>DB97</f>
        <v>0.1646</v>
      </c>
      <c r="AZ91" s="624">
        <f>DB98</f>
        <v>0</v>
      </c>
      <c r="BA91" s="622">
        <f>DA114</f>
        <v>0</v>
      </c>
      <c r="BB91" s="623">
        <f>DA115</f>
        <v>0</v>
      </c>
      <c r="BC91" s="623">
        <f>DA116</f>
        <v>0</v>
      </c>
      <c r="BD91" s="623">
        <f>DA117</f>
        <v>0</v>
      </c>
      <c r="BE91" s="623">
        <f>DA118</f>
        <v>0.06</v>
      </c>
      <c r="BF91" s="623">
        <f>DA119</f>
        <v>0</v>
      </c>
      <c r="BG91" s="624">
        <f>DA120</f>
        <v>0</v>
      </c>
      <c r="BQ91" s="340" t="s">
        <v>95</v>
      </c>
      <c r="BR91" s="341"/>
      <c r="BS91" s="278"/>
      <c r="BT91" s="279"/>
      <c r="BU91" s="611">
        <f>CZ89</f>
        <v>198.54096000000001</v>
      </c>
      <c r="BV91" s="611">
        <f>DA89*(1+CA91)</f>
        <v>3.1419999999999999</v>
      </c>
      <c r="BW91" s="611">
        <f>DB89*DA89*(1+CZ121)</f>
        <v>1080.5523378</v>
      </c>
      <c r="BX91" s="611">
        <f>DC89*DA89*(1+CZ122)</f>
        <v>8104.2234400000007</v>
      </c>
      <c r="BZ91" s="1"/>
      <c r="CA91" s="621">
        <f t="shared" si="43"/>
        <v>0</v>
      </c>
      <c r="CB91" s="622">
        <f>DB92</f>
        <v>0.35949999999999999</v>
      </c>
      <c r="CC91" s="623">
        <f>DB93</f>
        <v>0</v>
      </c>
      <c r="CD91" s="623">
        <f>DB94</f>
        <v>6.8900000000000003E-2</v>
      </c>
      <c r="CE91" s="623">
        <f>DB95</f>
        <v>0.40699999999999997</v>
      </c>
      <c r="CF91" s="623">
        <f>DB96</f>
        <v>0</v>
      </c>
      <c r="CG91" s="623">
        <f>DB97</f>
        <v>0.1646</v>
      </c>
      <c r="CH91" s="624">
        <f>DB98</f>
        <v>0</v>
      </c>
      <c r="CI91" s="622">
        <f>CZ114</f>
        <v>0</v>
      </c>
      <c r="CJ91" s="623">
        <f>CZ115</f>
        <v>0</v>
      </c>
      <c r="CK91" s="623">
        <f>CZ116</f>
        <v>0</v>
      </c>
      <c r="CL91" s="623">
        <f>CZ117</f>
        <v>0</v>
      </c>
      <c r="CM91" s="623">
        <f>CZ118</f>
        <v>0.09</v>
      </c>
      <c r="CN91" s="623">
        <f>CZ119</f>
        <v>0</v>
      </c>
      <c r="CO91" s="624">
        <f>CZ120</f>
        <v>0</v>
      </c>
      <c r="CX91" s="330"/>
      <c r="CY91" s="344" t="s">
        <v>149</v>
      </c>
      <c r="CZ91" s="344" t="s">
        <v>93</v>
      </c>
      <c r="DA91" s="344" t="s">
        <v>94</v>
      </c>
      <c r="DB91" s="344" t="s">
        <v>95</v>
      </c>
      <c r="DC91" s="344" t="s">
        <v>96</v>
      </c>
      <c r="DD91" s="345" t="s">
        <v>97</v>
      </c>
      <c r="DE91" s="345" t="s">
        <v>98</v>
      </c>
      <c r="DF91" s="345" t="s">
        <v>143</v>
      </c>
      <c r="DG91" s="345" t="s">
        <v>144</v>
      </c>
      <c r="DH91" s="345" t="s">
        <v>145</v>
      </c>
      <c r="DI91" s="345" t="s">
        <v>145</v>
      </c>
    </row>
    <row r="92" spans="1:129">
      <c r="A92" s="783" t="str">
        <f>Historico!A92</f>
        <v xml:space="preserve">           d) Sector 4</v>
      </c>
      <c r="B92" s="16">
        <f>+Historico!N92</f>
        <v>1.0017</v>
      </c>
      <c r="C92" s="55">
        <f t="shared" si="37"/>
        <v>0.99880000000000002</v>
      </c>
      <c r="D92" s="76">
        <f t="shared" si="38"/>
        <v>-2.8950783667764934E-3</v>
      </c>
      <c r="F92" s="55">
        <f>IF(IF(ResumenIndicadores!$F$11="Ft-1",B92,C92)=0,"",IF(ResumenIndicadores!$F$11="Ft-1",B92,C92))</f>
        <v>1.0017</v>
      </c>
      <c r="G92" s="107"/>
      <c r="H92" s="107"/>
      <c r="I92" s="107"/>
      <c r="J92" s="107"/>
      <c r="M92" s="340" t="s">
        <v>96</v>
      </c>
      <c r="N92" s="341"/>
      <c r="O92" s="278"/>
      <c r="P92" s="279"/>
      <c r="Q92" s="576">
        <v>0.83650000000000002</v>
      </c>
      <c r="R92" s="576">
        <v>6.4000000000000001E-2</v>
      </c>
      <c r="S92" s="576">
        <v>1.83E-2</v>
      </c>
      <c r="T92" s="576">
        <v>8.1199999999999994E-2</v>
      </c>
      <c r="X92" s="340" t="s">
        <v>96</v>
      </c>
      <c r="Y92" s="341"/>
      <c r="Z92" s="278"/>
      <c r="AA92" s="279"/>
      <c r="AB92" s="611">
        <f t="shared" si="39"/>
        <v>1.0499749371615812</v>
      </c>
      <c r="AC92" s="611">
        <f t="shared" si="40"/>
        <v>0.82081476766390837</v>
      </c>
      <c r="AD92" s="611">
        <f t="shared" si="44"/>
        <v>0.85586590855583955</v>
      </c>
      <c r="AE92" s="611">
        <f t="shared" si="41"/>
        <v>0.64450105473456876</v>
      </c>
      <c r="AI92" s="340" t="s">
        <v>96</v>
      </c>
      <c r="AJ92" s="341"/>
      <c r="AK92" s="278"/>
      <c r="AL92" s="279"/>
      <c r="AM92" s="611">
        <f>CZ90</f>
        <v>208.463032</v>
      </c>
      <c r="AN92" s="611">
        <f>DA90*(1+AS92)</f>
        <v>2.5790000000000002</v>
      </c>
      <c r="AO92" s="611">
        <f>DB90*DA90*(1+DA121)</f>
        <v>924.80790833333344</v>
      </c>
      <c r="AP92" s="611">
        <f>DC90*DA90*(1+DA122)</f>
        <v>5223.180554884616</v>
      </c>
      <c r="AR92" s="1"/>
      <c r="AS92" s="621">
        <f t="shared" si="42"/>
        <v>0</v>
      </c>
      <c r="AT92" s="622">
        <f>DC92</f>
        <v>1.1299999999999999E-2</v>
      </c>
      <c r="AU92" s="623">
        <f>DC93</f>
        <v>0</v>
      </c>
      <c r="AV92" s="623">
        <f>DC94</f>
        <v>5.1999999999999998E-3</v>
      </c>
      <c r="AW92" s="623">
        <f>DC95</f>
        <v>0.55900000000000005</v>
      </c>
      <c r="AX92" s="623">
        <f>DC96</f>
        <v>0</v>
      </c>
      <c r="AY92" s="623">
        <f>DC97</f>
        <v>0.42449999999999999</v>
      </c>
      <c r="AZ92" s="624">
        <f>DC98</f>
        <v>0</v>
      </c>
      <c r="BA92" s="622">
        <f>DA114</f>
        <v>0</v>
      </c>
      <c r="BB92" s="623">
        <f>DA115</f>
        <v>0</v>
      </c>
      <c r="BC92" s="623">
        <f>DA116</f>
        <v>0</v>
      </c>
      <c r="BD92" s="623">
        <f>DA117</f>
        <v>0</v>
      </c>
      <c r="BE92" s="623">
        <f>DA118</f>
        <v>0.06</v>
      </c>
      <c r="BF92" s="623">
        <f>DA119</f>
        <v>0</v>
      </c>
      <c r="BG92" s="624">
        <f>DA120</f>
        <v>0</v>
      </c>
      <c r="BQ92" s="340" t="s">
        <v>96</v>
      </c>
      <c r="BR92" s="341"/>
      <c r="BS92" s="278"/>
      <c r="BT92" s="279"/>
      <c r="BU92" s="611">
        <f>CZ89</f>
        <v>198.54096000000001</v>
      </c>
      <c r="BV92" s="611">
        <f>DA89*(1+CA92)</f>
        <v>3.1419999999999999</v>
      </c>
      <c r="BW92" s="611">
        <f>DB89*DA89*(1+CZ121)</f>
        <v>1080.5523378</v>
      </c>
      <c r="BX92" s="611">
        <f>DC89*DA89*(1+CZ122)</f>
        <v>8104.2234400000007</v>
      </c>
      <c r="BZ92" s="1"/>
      <c r="CA92" s="621">
        <f t="shared" si="43"/>
        <v>0</v>
      </c>
      <c r="CB92" s="622">
        <f>DC92</f>
        <v>1.1299999999999999E-2</v>
      </c>
      <c r="CC92" s="623">
        <f>DC93</f>
        <v>0</v>
      </c>
      <c r="CD92" s="623">
        <f>DC94</f>
        <v>5.1999999999999998E-3</v>
      </c>
      <c r="CE92" s="623">
        <f>DC95</f>
        <v>0.55900000000000005</v>
      </c>
      <c r="CF92" s="623">
        <f>DC96</f>
        <v>0</v>
      </c>
      <c r="CG92" s="623">
        <f>DC97</f>
        <v>0.42449999999999999</v>
      </c>
      <c r="CH92" s="624">
        <f>DC98</f>
        <v>0</v>
      </c>
      <c r="CI92" s="622">
        <f>CZ114</f>
        <v>0</v>
      </c>
      <c r="CJ92" s="623">
        <f>CZ115</f>
        <v>0</v>
      </c>
      <c r="CK92" s="623">
        <f>CZ116</f>
        <v>0</v>
      </c>
      <c r="CL92" s="623">
        <f>CZ117</f>
        <v>0</v>
      </c>
      <c r="CM92" s="623">
        <f>CZ118</f>
        <v>0.09</v>
      </c>
      <c r="CN92" s="623">
        <f>CZ119</f>
        <v>0</v>
      </c>
      <c r="CO92" s="624">
        <f>CZ120</f>
        <v>0</v>
      </c>
      <c r="CX92" s="585" t="s">
        <v>75</v>
      </c>
      <c r="CY92" s="601" t="s">
        <v>99</v>
      </c>
      <c r="CZ92" s="579">
        <v>0.15129999999999999</v>
      </c>
      <c r="DA92" s="579">
        <v>0.3639</v>
      </c>
      <c r="DB92" s="579">
        <v>0.35949999999999999</v>
      </c>
      <c r="DC92" s="579">
        <v>1.1299999999999999E-2</v>
      </c>
      <c r="DD92" s="579">
        <v>4.8899999999999999E-2</v>
      </c>
      <c r="DE92" s="579">
        <v>0.3947</v>
      </c>
      <c r="DF92" s="579">
        <v>0.1147</v>
      </c>
      <c r="DG92" s="579">
        <v>0.1147</v>
      </c>
      <c r="DH92" s="579">
        <v>0.1147</v>
      </c>
      <c r="DI92" s="579">
        <v>0.1147</v>
      </c>
    </row>
    <row r="93" spans="1:129">
      <c r="A93" s="783" t="str">
        <f>Historico!A93</f>
        <v xml:space="preserve">           e) Sector 5</v>
      </c>
      <c r="B93" s="16">
        <f>+Historico!N93</f>
        <v>1.0068999999999999</v>
      </c>
      <c r="C93" s="55">
        <f t="shared" si="37"/>
        <v>1.0042</v>
      </c>
      <c r="D93" s="76">
        <f t="shared" si="38"/>
        <v>-2.6814976661038159E-3</v>
      </c>
      <c r="F93" s="55">
        <f>IF(IF(ResumenIndicadores!$F$11="Ft-1",B93,C93)=0,"",IF(ResumenIndicadores!$F$11="Ft-1",B93,C93))</f>
        <v>1.0068999999999999</v>
      </c>
      <c r="G93" s="107"/>
      <c r="H93" s="107"/>
      <c r="I93" s="107"/>
      <c r="J93" s="107"/>
      <c r="M93" s="340" t="s">
        <v>97</v>
      </c>
      <c r="N93" s="341"/>
      <c r="O93" s="278"/>
      <c r="P93" s="279"/>
      <c r="Q93" s="576">
        <v>0.8609</v>
      </c>
      <c r="R93" s="576">
        <v>3.6299999999999999E-2</v>
      </c>
      <c r="S93" s="576">
        <v>1.9800000000000002E-2</v>
      </c>
      <c r="T93" s="576">
        <v>8.3000000000000004E-2</v>
      </c>
      <c r="X93" s="340" t="s">
        <v>97</v>
      </c>
      <c r="Y93" s="341"/>
      <c r="Z93" s="278"/>
      <c r="AA93" s="279"/>
      <c r="AB93" s="611">
        <f t="shared" si="39"/>
        <v>1.0499749371615812</v>
      </c>
      <c r="AC93" s="611">
        <f t="shared" si="40"/>
        <v>0.82081476766390837</v>
      </c>
      <c r="AD93" s="611">
        <f t="shared" si="44"/>
        <v>0.85586590855583955</v>
      </c>
      <c r="AE93" s="611">
        <f t="shared" si="41"/>
        <v>0.64450105473456876</v>
      </c>
      <c r="AI93" s="340" t="s">
        <v>97</v>
      </c>
      <c r="AJ93" s="341"/>
      <c r="AK93" s="278"/>
      <c r="AL93" s="279"/>
      <c r="AM93" s="611">
        <f>CZ90</f>
        <v>208.463032</v>
      </c>
      <c r="AN93" s="611">
        <f>DA90*(1+AS93)</f>
        <v>2.5790000000000002</v>
      </c>
      <c r="AO93" s="611">
        <f>DB90*DA90*(1+DA121)</f>
        <v>924.80790833333344</v>
      </c>
      <c r="AP93" s="611">
        <f>DC90*DA90*(1+DA122)</f>
        <v>5223.180554884616</v>
      </c>
      <c r="AR93" s="1"/>
      <c r="AS93" s="621">
        <f t="shared" si="42"/>
        <v>0</v>
      </c>
      <c r="AT93" s="622">
        <f>DD92</f>
        <v>4.8899999999999999E-2</v>
      </c>
      <c r="AU93" s="623">
        <f>DD93</f>
        <v>0</v>
      </c>
      <c r="AV93" s="623">
        <f>DD94</f>
        <v>3.0999999999999999E-3</v>
      </c>
      <c r="AW93" s="623">
        <f>DD95</f>
        <v>0.2487</v>
      </c>
      <c r="AX93" s="623">
        <f>DD96</f>
        <v>0</v>
      </c>
      <c r="AY93" s="623">
        <f>DD97</f>
        <v>0.69930000000000003</v>
      </c>
      <c r="AZ93" s="624">
        <f>DD98</f>
        <v>0</v>
      </c>
      <c r="BA93" s="622">
        <f>DA114</f>
        <v>0</v>
      </c>
      <c r="BB93" s="623">
        <f>DA115</f>
        <v>0</v>
      </c>
      <c r="BC93" s="623">
        <f>DA116</f>
        <v>0</v>
      </c>
      <c r="BD93" s="623">
        <f>DA117</f>
        <v>0</v>
      </c>
      <c r="BE93" s="623">
        <f>DA118</f>
        <v>0.06</v>
      </c>
      <c r="BF93" s="623">
        <f>DA119</f>
        <v>0</v>
      </c>
      <c r="BG93" s="624">
        <f>DA120</f>
        <v>0</v>
      </c>
      <c r="BQ93" s="340" t="s">
        <v>97</v>
      </c>
      <c r="BR93" s="341"/>
      <c r="BS93" s="278"/>
      <c r="BT93" s="279"/>
      <c r="BU93" s="611">
        <f>CZ89</f>
        <v>198.54096000000001</v>
      </c>
      <c r="BV93" s="611">
        <f>DA89*(1+CA93)</f>
        <v>3.1419999999999999</v>
      </c>
      <c r="BW93" s="611">
        <f>DB89*DA89*(1+CZ121)</f>
        <v>1080.5523378</v>
      </c>
      <c r="BX93" s="611">
        <f>DC89*DA89*(1+CZ122)</f>
        <v>8104.2234400000007</v>
      </c>
      <c r="BZ93" s="1"/>
      <c r="CA93" s="621">
        <f t="shared" si="43"/>
        <v>0</v>
      </c>
      <c r="CB93" s="622">
        <f>DD92</f>
        <v>4.8899999999999999E-2</v>
      </c>
      <c r="CC93" s="623">
        <f>DD93</f>
        <v>0</v>
      </c>
      <c r="CD93" s="623">
        <f>DD94</f>
        <v>3.0999999999999999E-3</v>
      </c>
      <c r="CE93" s="623">
        <f>DD95</f>
        <v>0.2487</v>
      </c>
      <c r="CF93" s="623">
        <f>DD96</f>
        <v>0</v>
      </c>
      <c r="CG93" s="623">
        <f>DD97</f>
        <v>0.69930000000000003</v>
      </c>
      <c r="CH93" s="624">
        <f>DD98</f>
        <v>0</v>
      </c>
      <c r="CI93" s="622">
        <f>CZ114</f>
        <v>0</v>
      </c>
      <c r="CJ93" s="623">
        <f>CZ115</f>
        <v>0</v>
      </c>
      <c r="CK93" s="623">
        <f>CZ116</f>
        <v>0</v>
      </c>
      <c r="CL93" s="623">
        <f>CZ117</f>
        <v>0</v>
      </c>
      <c r="CM93" s="623">
        <f>CZ118</f>
        <v>0.09</v>
      </c>
      <c r="CN93" s="623">
        <f>CZ119</f>
        <v>0</v>
      </c>
      <c r="CO93" s="624">
        <f>CZ120</f>
        <v>0</v>
      </c>
      <c r="CX93" s="586"/>
      <c r="CY93" s="601" t="s">
        <v>150</v>
      </c>
      <c r="CZ93" s="576">
        <v>5.9299999999999999E-2</v>
      </c>
      <c r="DA93" s="576">
        <v>0</v>
      </c>
      <c r="DB93" s="576">
        <v>0</v>
      </c>
      <c r="DC93" s="576">
        <v>0</v>
      </c>
      <c r="DD93" s="576">
        <v>0</v>
      </c>
      <c r="DE93" s="576">
        <v>0</v>
      </c>
      <c r="DF93" s="576">
        <v>0</v>
      </c>
      <c r="DG93" s="576">
        <v>0</v>
      </c>
      <c r="DH93" s="576">
        <v>0</v>
      </c>
      <c r="DI93" s="576">
        <v>0</v>
      </c>
    </row>
    <row r="94" spans="1:129">
      <c r="A94" s="783" t="str">
        <f>Historico!A94</f>
        <v xml:space="preserve">           f) Sector Especial</v>
      </c>
      <c r="B94" s="16">
        <f>+Historico!N94</f>
        <v>1.0147999999999999</v>
      </c>
      <c r="C94" s="55">
        <f t="shared" si="37"/>
        <v>1.0121</v>
      </c>
      <c r="D94" s="76">
        <f t="shared" si="38"/>
        <v>-2.6606227828143147E-3</v>
      </c>
      <c r="F94" s="55">
        <f>IF(IF(ResumenIndicadores!$F$11="Ft-1",B94,C94)=0,"",IF(ResumenIndicadores!$F$11="Ft-1",B94,C94))</f>
        <v>1.0147999999999999</v>
      </c>
      <c r="G94" s="107"/>
      <c r="H94" s="107"/>
      <c r="I94" s="107"/>
      <c r="J94" s="107"/>
      <c r="M94" s="340" t="s">
        <v>98</v>
      </c>
      <c r="N94" s="346"/>
      <c r="O94" s="283"/>
      <c r="P94" s="301"/>
      <c r="Q94" s="576">
        <v>0.88019999999999998</v>
      </c>
      <c r="R94" s="576">
        <v>3.7400000000000003E-2</v>
      </c>
      <c r="S94" s="576">
        <v>1.9300000000000001E-2</v>
      </c>
      <c r="T94" s="576">
        <v>6.3100000000000003E-2</v>
      </c>
      <c r="X94" s="340" t="s">
        <v>98</v>
      </c>
      <c r="Y94" s="346"/>
      <c r="Z94" s="283"/>
      <c r="AA94" s="301"/>
      <c r="AB94" s="611">
        <f t="shared" si="39"/>
        <v>1.0499749371615812</v>
      </c>
      <c r="AC94" s="611">
        <f t="shared" si="40"/>
        <v>0.82081476766390837</v>
      </c>
      <c r="AD94" s="611">
        <f t="shared" si="44"/>
        <v>0.85586590855583955</v>
      </c>
      <c r="AE94" s="611">
        <f t="shared" si="41"/>
        <v>0.64450105473456876</v>
      </c>
      <c r="AI94" s="340" t="s">
        <v>98</v>
      </c>
      <c r="AJ94" s="346"/>
      <c r="AK94" s="283"/>
      <c r="AL94" s="301"/>
      <c r="AM94" s="611">
        <f>CZ90</f>
        <v>208.463032</v>
      </c>
      <c r="AN94" s="611">
        <f>DA90*(1+AS94)</f>
        <v>2.5790000000000002</v>
      </c>
      <c r="AO94" s="611">
        <f>DB90*DA90*(1+DA121)</f>
        <v>924.80790833333344</v>
      </c>
      <c r="AP94" s="611">
        <f>DC90*DA90*(1+DA122)</f>
        <v>5223.180554884616</v>
      </c>
      <c r="AR94" s="1"/>
      <c r="AS94" s="621">
        <f t="shared" si="42"/>
        <v>0</v>
      </c>
      <c r="AT94" s="622">
        <f>DE92</f>
        <v>0.3947</v>
      </c>
      <c r="AU94" s="623">
        <f>DE93</f>
        <v>0</v>
      </c>
      <c r="AV94" s="623">
        <f>DE94</f>
        <v>0.10009999999999999</v>
      </c>
      <c r="AW94" s="623">
        <f>DE95</f>
        <v>0.17150000000000001</v>
      </c>
      <c r="AX94" s="623">
        <f>DE96</f>
        <v>0</v>
      </c>
      <c r="AY94" s="623">
        <f>DE97</f>
        <v>0.3337</v>
      </c>
      <c r="AZ94" s="624">
        <f>DE98</f>
        <v>0</v>
      </c>
      <c r="BA94" s="622">
        <f>DA114</f>
        <v>0</v>
      </c>
      <c r="BB94" s="623">
        <f>DA115</f>
        <v>0</v>
      </c>
      <c r="BC94" s="623">
        <f>DA116</f>
        <v>0</v>
      </c>
      <c r="BD94" s="623">
        <f>DA117</f>
        <v>0</v>
      </c>
      <c r="BE94" s="623">
        <f>DA118</f>
        <v>0.06</v>
      </c>
      <c r="BF94" s="623">
        <f>DA119</f>
        <v>0</v>
      </c>
      <c r="BG94" s="624">
        <f>DA120</f>
        <v>0</v>
      </c>
      <c r="BQ94" s="340" t="s">
        <v>98</v>
      </c>
      <c r="BR94" s="346"/>
      <c r="BS94" s="283"/>
      <c r="BT94" s="301"/>
      <c r="BU94" s="611">
        <f>CZ89</f>
        <v>198.54096000000001</v>
      </c>
      <c r="BV94" s="611">
        <f>DA89*(1+CA94)</f>
        <v>3.1419999999999999</v>
      </c>
      <c r="BW94" s="611">
        <f>DB89*DA89*(1+CZ121)</f>
        <v>1080.5523378</v>
      </c>
      <c r="BX94" s="611">
        <f>DC89*DA89*(1+CZ122)</f>
        <v>8104.2234400000007</v>
      </c>
      <c r="BZ94" s="1"/>
      <c r="CA94" s="621">
        <f t="shared" si="43"/>
        <v>0</v>
      </c>
      <c r="CB94" s="622">
        <f>DE92</f>
        <v>0.3947</v>
      </c>
      <c r="CC94" s="623">
        <f>DE93</f>
        <v>0</v>
      </c>
      <c r="CD94" s="623">
        <f>DE94</f>
        <v>0.10009999999999999</v>
      </c>
      <c r="CE94" s="623">
        <f>DE95</f>
        <v>0.17150000000000001</v>
      </c>
      <c r="CF94" s="623">
        <f>DE96</f>
        <v>0</v>
      </c>
      <c r="CG94" s="623">
        <f>DE97</f>
        <v>0.3337</v>
      </c>
      <c r="CH94" s="624">
        <f>DE98</f>
        <v>0</v>
      </c>
      <c r="CI94" s="622">
        <f>CZ114</f>
        <v>0</v>
      </c>
      <c r="CJ94" s="623">
        <f>CZ115</f>
        <v>0</v>
      </c>
      <c r="CK94" s="623">
        <f>CZ116</f>
        <v>0</v>
      </c>
      <c r="CL94" s="623">
        <f>CZ117</f>
        <v>0</v>
      </c>
      <c r="CM94" s="623">
        <f>CZ118</f>
        <v>0.09</v>
      </c>
      <c r="CN94" s="623">
        <f>CZ119</f>
        <v>0</v>
      </c>
      <c r="CO94" s="624">
        <f>CZ120</f>
        <v>0</v>
      </c>
      <c r="CX94" s="586"/>
      <c r="CY94" s="601" t="s">
        <v>100</v>
      </c>
      <c r="CZ94" s="576">
        <v>3.1199999999999999E-2</v>
      </c>
      <c r="DA94" s="576">
        <v>7.1000000000000004E-3</v>
      </c>
      <c r="DB94" s="576">
        <v>6.8900000000000003E-2</v>
      </c>
      <c r="DC94" s="576">
        <v>5.1999999999999998E-3</v>
      </c>
      <c r="DD94" s="576">
        <v>3.0999999999999999E-3</v>
      </c>
      <c r="DE94" s="576">
        <v>0.10009999999999999</v>
      </c>
      <c r="DF94" s="576">
        <v>1.66E-2</v>
      </c>
      <c r="DG94" s="576">
        <v>1.66E-2</v>
      </c>
      <c r="DH94" s="576">
        <v>1.66E-2</v>
      </c>
      <c r="DI94" s="576">
        <v>1.66E-2</v>
      </c>
    </row>
    <row r="95" spans="1:129">
      <c r="A95" s="783" t="str">
        <f>Historico!A95</f>
        <v xml:space="preserve">           g) VAD SER 100 Estado Prepago</v>
      </c>
      <c r="B95" s="16">
        <f>+Historico!N95</f>
        <v>0.99139999999999995</v>
      </c>
      <c r="C95" s="55">
        <f t="shared" si="37"/>
        <v>0.98829999999999996</v>
      </c>
      <c r="D95" s="76">
        <f t="shared" si="38"/>
        <v>-3.1268912648779734E-3</v>
      </c>
      <c r="F95" s="55">
        <f>IF(IF(ResumenIndicadores!$F$11="Ft-1",B95,C95)=0,"",IF(ResumenIndicadores!$F$11="Ft-1",B95,C95))</f>
        <v>0.99139999999999995</v>
      </c>
      <c r="G95" s="107"/>
      <c r="H95" s="107"/>
      <c r="I95" s="107"/>
      <c r="J95" s="107"/>
      <c r="M95" s="822" t="s">
        <v>157</v>
      </c>
      <c r="N95" s="347" t="s">
        <v>158</v>
      </c>
      <c r="O95" s="278"/>
      <c r="P95" s="279"/>
      <c r="Q95" s="576">
        <v>0.82420000000000004</v>
      </c>
      <c r="R95" s="576">
        <v>4.5400000000000003E-2</v>
      </c>
      <c r="S95" s="576">
        <v>7.7999999999999996E-3</v>
      </c>
      <c r="T95" s="576">
        <v>0.1226</v>
      </c>
      <c r="X95" s="822" t="s">
        <v>157</v>
      </c>
      <c r="Y95" s="347" t="s">
        <v>158</v>
      </c>
      <c r="Z95" s="278"/>
      <c r="AA95" s="279"/>
      <c r="AB95" s="611">
        <f t="shared" si="39"/>
        <v>1.0499749371615812</v>
      </c>
      <c r="AC95" s="611">
        <f t="shared" si="40"/>
        <v>0.82081476766390837</v>
      </c>
      <c r="AD95" s="611">
        <f t="shared" si="44"/>
        <v>0.85586590855583955</v>
      </c>
      <c r="AE95" s="611">
        <f t="shared" si="41"/>
        <v>0.64450105473456876</v>
      </c>
      <c r="AI95" s="822" t="s">
        <v>157</v>
      </c>
      <c r="AJ95" s="347" t="s">
        <v>158</v>
      </c>
      <c r="AK95" s="278"/>
      <c r="AL95" s="279"/>
      <c r="AM95" s="611">
        <f>CZ90</f>
        <v>208.463032</v>
      </c>
      <c r="AN95" s="611">
        <f>DA90*(1+AS95)</f>
        <v>2.5790000000000002</v>
      </c>
      <c r="AO95" s="611">
        <f>DB90*DA90*(1+DA121)</f>
        <v>924.80790833333344</v>
      </c>
      <c r="AP95" s="611">
        <f>DC90*DA90*(1+DA122)</f>
        <v>5223.180554884616</v>
      </c>
      <c r="AR95" s="1"/>
      <c r="AS95" s="621">
        <f t="shared" si="42"/>
        <v>0</v>
      </c>
      <c r="AT95" s="622">
        <f>DF92</f>
        <v>0.1147</v>
      </c>
      <c r="AU95" s="623">
        <f>DF93</f>
        <v>0</v>
      </c>
      <c r="AV95" s="623">
        <f>DF94</f>
        <v>1.66E-2</v>
      </c>
      <c r="AW95" s="623">
        <f>DF95</f>
        <v>0.31919999999999998</v>
      </c>
      <c r="AX95" s="623">
        <f>DF96</f>
        <v>0</v>
      </c>
      <c r="AY95" s="623">
        <f>DF97</f>
        <v>0.54949999999999999</v>
      </c>
      <c r="AZ95" s="624">
        <f>DF98</f>
        <v>0</v>
      </c>
      <c r="BA95" s="622">
        <f>DA114</f>
        <v>0</v>
      </c>
      <c r="BB95" s="623">
        <f>DA115</f>
        <v>0</v>
      </c>
      <c r="BC95" s="623">
        <f>DA116</f>
        <v>0</v>
      </c>
      <c r="BD95" s="623">
        <f>DA117</f>
        <v>0</v>
      </c>
      <c r="BE95" s="623">
        <f>DA118</f>
        <v>0.06</v>
      </c>
      <c r="BF95" s="623">
        <f>DA119</f>
        <v>0</v>
      </c>
      <c r="BG95" s="624">
        <f>DA120</f>
        <v>0</v>
      </c>
      <c r="BQ95" s="822" t="s">
        <v>157</v>
      </c>
      <c r="BR95" s="347" t="s">
        <v>158</v>
      </c>
      <c r="BS95" s="278"/>
      <c r="BT95" s="279"/>
      <c r="BU95" s="611">
        <f>CZ89</f>
        <v>198.54096000000001</v>
      </c>
      <c r="BV95" s="611">
        <f>DA89*(1+CA95)</f>
        <v>3.1419999999999999</v>
      </c>
      <c r="BW95" s="611">
        <f>DB89*DA89*(1+CZ121)</f>
        <v>1080.5523378</v>
      </c>
      <c r="BX95" s="611">
        <f>DC89*DA89*(1+CZ122)</f>
        <v>8104.2234400000007</v>
      </c>
      <c r="BZ95" s="1"/>
      <c r="CA95" s="621">
        <f t="shared" si="43"/>
        <v>0</v>
      </c>
      <c r="CB95" s="622">
        <f>DF92</f>
        <v>0.1147</v>
      </c>
      <c r="CC95" s="623">
        <f>DF93</f>
        <v>0</v>
      </c>
      <c r="CD95" s="623">
        <f>DF94</f>
        <v>1.66E-2</v>
      </c>
      <c r="CE95" s="623">
        <f>DF95</f>
        <v>0.31919999999999998</v>
      </c>
      <c r="CF95" s="623">
        <f>DF96</f>
        <v>0</v>
      </c>
      <c r="CG95" s="623">
        <f>DF97</f>
        <v>0.54949999999999999</v>
      </c>
      <c r="CH95" s="624">
        <f>DF98</f>
        <v>0</v>
      </c>
      <c r="CI95" s="622">
        <f>CZ114</f>
        <v>0</v>
      </c>
      <c r="CJ95" s="623">
        <f>CZ115</f>
        <v>0</v>
      </c>
      <c r="CK95" s="623">
        <f>CZ116</f>
        <v>0</v>
      </c>
      <c r="CL95" s="623">
        <f>CZ117</f>
        <v>0</v>
      </c>
      <c r="CM95" s="623">
        <f>CZ118</f>
        <v>0.09</v>
      </c>
      <c r="CN95" s="623">
        <f>CZ119</f>
        <v>0</v>
      </c>
      <c r="CO95" s="624">
        <f>CZ120</f>
        <v>0</v>
      </c>
      <c r="CX95" s="586"/>
      <c r="CY95" s="601" t="s">
        <v>101</v>
      </c>
      <c r="CZ95" s="576">
        <v>0.75219999999999998</v>
      </c>
      <c r="DA95" s="576">
        <v>0.48060000000000003</v>
      </c>
      <c r="DB95" s="576">
        <v>0.40699999999999997</v>
      </c>
      <c r="DC95" s="576">
        <v>0.55900000000000005</v>
      </c>
      <c r="DD95" s="576">
        <v>0.2487</v>
      </c>
      <c r="DE95" s="576">
        <v>0.17150000000000001</v>
      </c>
      <c r="DF95" s="576">
        <v>0.31919999999999998</v>
      </c>
      <c r="DG95" s="576">
        <v>0.31919999999999998</v>
      </c>
      <c r="DH95" s="576">
        <v>0.31919999999999998</v>
      </c>
      <c r="DI95" s="576">
        <v>0.31919999999999998</v>
      </c>
    </row>
    <row r="96" spans="1:129">
      <c r="A96" s="783" t="str">
        <f>Historico!A96</f>
        <v xml:space="preserve">           h) VAD SER 100 Estado Convencional</v>
      </c>
      <c r="B96" s="16">
        <f>+Historico!N96</f>
        <v>0.99250000000000005</v>
      </c>
      <c r="C96" s="55">
        <f t="shared" si="37"/>
        <v>0.98939999999999995</v>
      </c>
      <c r="D96" s="76">
        <f t="shared" si="38"/>
        <v>-3.123425692695303E-3</v>
      </c>
      <c r="F96" s="55">
        <f>IF(IF(ResumenIndicadores!$F$11="Ft-1",B96,C96)=0,"",IF(ResumenIndicadores!$F$11="Ft-1",B96,C96))</f>
        <v>0.99250000000000005</v>
      </c>
      <c r="G96" s="107"/>
      <c r="H96" s="107"/>
      <c r="I96" s="107"/>
      <c r="J96" s="107"/>
      <c r="M96" s="823"/>
      <c r="N96" s="347" t="s">
        <v>156</v>
      </c>
      <c r="O96" s="278"/>
      <c r="P96" s="279"/>
      <c r="Q96" s="576">
        <v>0.82720000000000005</v>
      </c>
      <c r="R96" s="576">
        <v>4.4600000000000001E-2</v>
      </c>
      <c r="S96" s="576">
        <v>7.7000000000000002E-3</v>
      </c>
      <c r="T96" s="576">
        <v>0.1205</v>
      </c>
      <c r="X96" s="823"/>
      <c r="Y96" s="347" t="s">
        <v>156</v>
      </c>
      <c r="Z96" s="278"/>
      <c r="AA96" s="279"/>
      <c r="AB96" s="611">
        <f t="shared" si="39"/>
        <v>1.0499749371615812</v>
      </c>
      <c r="AC96" s="611">
        <f t="shared" si="40"/>
        <v>0.82081476766390837</v>
      </c>
      <c r="AD96" s="611">
        <f t="shared" si="44"/>
        <v>0.85586590855583955</v>
      </c>
      <c r="AE96" s="611">
        <f t="shared" si="41"/>
        <v>0.64450105473456876</v>
      </c>
      <c r="AI96" s="823"/>
      <c r="AJ96" s="347" t="s">
        <v>156</v>
      </c>
      <c r="AK96" s="278"/>
      <c r="AL96" s="279"/>
      <c r="AM96" s="611">
        <f>CZ90</f>
        <v>208.463032</v>
      </c>
      <c r="AN96" s="611">
        <f>DA90*(1+AS96)</f>
        <v>2.5790000000000002</v>
      </c>
      <c r="AO96" s="611">
        <f>DB90*DA90*(1+DA121)</f>
        <v>924.80790833333344</v>
      </c>
      <c r="AP96" s="611">
        <f>DC90*DA90*(1+DA122)</f>
        <v>5223.180554884616</v>
      </c>
      <c r="AR96" s="1"/>
      <c r="AS96" s="621">
        <f t="shared" si="42"/>
        <v>0</v>
      </c>
      <c r="AT96" s="622">
        <f>DG92</f>
        <v>0.1147</v>
      </c>
      <c r="AU96" s="623">
        <f>DG93</f>
        <v>0</v>
      </c>
      <c r="AV96" s="623">
        <f>DG94</f>
        <v>1.66E-2</v>
      </c>
      <c r="AW96" s="623">
        <f>DG95</f>
        <v>0.31919999999999998</v>
      </c>
      <c r="AX96" s="623">
        <f>DG96</f>
        <v>0</v>
      </c>
      <c r="AY96" s="623">
        <f>DG97</f>
        <v>0.54949999999999999</v>
      </c>
      <c r="AZ96" s="624">
        <f>DG98</f>
        <v>0</v>
      </c>
      <c r="BA96" s="622">
        <f>DA114</f>
        <v>0</v>
      </c>
      <c r="BB96" s="623">
        <f>DA115</f>
        <v>0</v>
      </c>
      <c r="BC96" s="623">
        <f>DA116</f>
        <v>0</v>
      </c>
      <c r="BD96" s="623">
        <f>DA117</f>
        <v>0</v>
      </c>
      <c r="BE96" s="623">
        <f>DA118</f>
        <v>0.06</v>
      </c>
      <c r="BF96" s="623">
        <f>DA119</f>
        <v>0</v>
      </c>
      <c r="BG96" s="624">
        <f>DA120</f>
        <v>0</v>
      </c>
      <c r="BQ96" s="823"/>
      <c r="BR96" s="347" t="s">
        <v>156</v>
      </c>
      <c r="BS96" s="278"/>
      <c r="BT96" s="279"/>
      <c r="BU96" s="611">
        <f>CZ89</f>
        <v>198.54096000000001</v>
      </c>
      <c r="BV96" s="611">
        <f>DA89*(1+CA96)</f>
        <v>3.1419999999999999</v>
      </c>
      <c r="BW96" s="611">
        <f>DB89*DA89*(1+CZ121)</f>
        <v>1080.5523378</v>
      </c>
      <c r="BX96" s="611">
        <f>DC89*DA89*(1+CZ122)</f>
        <v>8104.2234400000007</v>
      </c>
      <c r="BZ96" s="1"/>
      <c r="CA96" s="621">
        <f t="shared" si="43"/>
        <v>0</v>
      </c>
      <c r="CB96" s="622">
        <f>DG92</f>
        <v>0.1147</v>
      </c>
      <c r="CC96" s="623">
        <f>DG93</f>
        <v>0</v>
      </c>
      <c r="CD96" s="623">
        <f>DG94</f>
        <v>1.66E-2</v>
      </c>
      <c r="CE96" s="623">
        <f>DG95</f>
        <v>0.31919999999999998</v>
      </c>
      <c r="CF96" s="623">
        <f>DG96</f>
        <v>0</v>
      </c>
      <c r="CG96" s="623">
        <f>DG97</f>
        <v>0.54949999999999999</v>
      </c>
      <c r="CH96" s="624">
        <f>DG98</f>
        <v>0</v>
      </c>
      <c r="CI96" s="622">
        <f>CZ114</f>
        <v>0</v>
      </c>
      <c r="CJ96" s="623">
        <f>CZ115</f>
        <v>0</v>
      </c>
      <c r="CK96" s="623">
        <f>CZ116</f>
        <v>0</v>
      </c>
      <c r="CL96" s="623">
        <f>CZ117</f>
        <v>0</v>
      </c>
      <c r="CM96" s="623">
        <f>CZ118</f>
        <v>0.09</v>
      </c>
      <c r="CN96" s="623">
        <f>CZ119</f>
        <v>0</v>
      </c>
      <c r="CO96" s="624">
        <f>CZ120</f>
        <v>0</v>
      </c>
      <c r="CX96" s="586"/>
      <c r="CY96" s="601" t="s">
        <v>102</v>
      </c>
      <c r="CZ96" s="576">
        <v>0</v>
      </c>
      <c r="DA96" s="576">
        <v>0</v>
      </c>
      <c r="DB96" s="576">
        <v>0</v>
      </c>
      <c r="DC96" s="576">
        <v>0</v>
      </c>
      <c r="DD96" s="576">
        <v>0</v>
      </c>
      <c r="DE96" s="576">
        <v>0</v>
      </c>
      <c r="DF96" s="576">
        <v>0</v>
      </c>
      <c r="DG96" s="576">
        <v>0</v>
      </c>
      <c r="DH96" s="576">
        <v>0</v>
      </c>
      <c r="DI96" s="576">
        <v>0</v>
      </c>
    </row>
    <row r="97" spans="1:129">
      <c r="A97" s="783" t="str">
        <f>Historico!A97</f>
        <v xml:space="preserve">           i) VAD SER 100 Empresa Prepago</v>
      </c>
      <c r="B97" s="16">
        <f>+Historico!N97</f>
        <v>0.99139999999999995</v>
      </c>
      <c r="C97" s="55">
        <f t="shared" si="37"/>
        <v>0.98829999999999996</v>
      </c>
      <c r="D97" s="76">
        <f t="shared" si="38"/>
        <v>-3.1268912648779734E-3</v>
      </c>
      <c r="F97" s="55">
        <f>IF(IF(ResumenIndicadores!$F$11="Ft-1",B97,C97)=0,"",IF(ResumenIndicadores!$F$11="Ft-1",B97,C97))</f>
        <v>0.99139999999999995</v>
      </c>
      <c r="G97" s="107"/>
      <c r="H97" s="107"/>
      <c r="I97" s="107"/>
      <c r="J97" s="107"/>
      <c r="M97" s="822" t="s">
        <v>159</v>
      </c>
      <c r="N97" s="347" t="s">
        <v>158</v>
      </c>
      <c r="O97" s="278"/>
      <c r="P97" s="279"/>
      <c r="Q97" s="576">
        <v>0.82420000000000004</v>
      </c>
      <c r="R97" s="576">
        <v>4.5400000000000003E-2</v>
      </c>
      <c r="S97" s="576">
        <v>7.7999999999999996E-3</v>
      </c>
      <c r="T97" s="576">
        <v>0.1226</v>
      </c>
      <c r="X97" s="822" t="s">
        <v>159</v>
      </c>
      <c r="Y97" s="347" t="s">
        <v>158</v>
      </c>
      <c r="Z97" s="278"/>
      <c r="AA97" s="279"/>
      <c r="AB97" s="611">
        <f t="shared" si="39"/>
        <v>1.0499749371615812</v>
      </c>
      <c r="AC97" s="611">
        <f t="shared" si="40"/>
        <v>0.82081476766390837</v>
      </c>
      <c r="AD97" s="611">
        <f t="shared" si="44"/>
        <v>0.85586590855583955</v>
      </c>
      <c r="AE97" s="611">
        <f t="shared" si="41"/>
        <v>0.64450105473456876</v>
      </c>
      <c r="AI97" s="822" t="s">
        <v>159</v>
      </c>
      <c r="AJ97" s="347" t="s">
        <v>158</v>
      </c>
      <c r="AK97" s="278"/>
      <c r="AL97" s="279"/>
      <c r="AM97" s="611">
        <f>CZ90</f>
        <v>208.463032</v>
      </c>
      <c r="AN97" s="611">
        <f>DA90*(1+AS97)</f>
        <v>2.5790000000000002</v>
      </c>
      <c r="AO97" s="611">
        <f>DB90*DA90*(1+DA121)</f>
        <v>924.80790833333344</v>
      </c>
      <c r="AP97" s="611">
        <f>DC90*DA90*(1+DA122)</f>
        <v>5223.180554884616</v>
      </c>
      <c r="AR97" s="1"/>
      <c r="AS97" s="621">
        <f t="shared" si="42"/>
        <v>0</v>
      </c>
      <c r="AT97" s="622">
        <f>DH92</f>
        <v>0.1147</v>
      </c>
      <c r="AU97" s="623">
        <f>DH93</f>
        <v>0</v>
      </c>
      <c r="AV97" s="623">
        <f>DH94</f>
        <v>1.66E-2</v>
      </c>
      <c r="AW97" s="623">
        <f>DH95</f>
        <v>0.31919999999999998</v>
      </c>
      <c r="AX97" s="623">
        <f>DH96</f>
        <v>0</v>
      </c>
      <c r="AY97" s="623">
        <f>DH97</f>
        <v>0.54949999999999999</v>
      </c>
      <c r="AZ97" s="624">
        <f>DH98</f>
        <v>0</v>
      </c>
      <c r="BA97" s="622">
        <f>DA114</f>
        <v>0</v>
      </c>
      <c r="BB97" s="623">
        <f>DA115</f>
        <v>0</v>
      </c>
      <c r="BC97" s="623">
        <f>DA116</f>
        <v>0</v>
      </c>
      <c r="BD97" s="623">
        <f>DA117</f>
        <v>0</v>
      </c>
      <c r="BE97" s="623">
        <f>DA118</f>
        <v>0.06</v>
      </c>
      <c r="BF97" s="623">
        <f>DA119</f>
        <v>0</v>
      </c>
      <c r="BG97" s="624">
        <f>DA120</f>
        <v>0</v>
      </c>
      <c r="BQ97" s="822" t="s">
        <v>159</v>
      </c>
      <c r="BR97" s="347" t="s">
        <v>158</v>
      </c>
      <c r="BS97" s="278"/>
      <c r="BT97" s="279"/>
      <c r="BU97" s="611">
        <f>CZ89</f>
        <v>198.54096000000001</v>
      </c>
      <c r="BV97" s="611">
        <f>DA89*(1+CA97)</f>
        <v>3.1419999999999999</v>
      </c>
      <c r="BW97" s="611">
        <f>DB89*DA89*(1+CZ121)</f>
        <v>1080.5523378</v>
      </c>
      <c r="BX97" s="611">
        <f>DC89*DA89*(1+CZ122)</f>
        <v>8104.2234400000007</v>
      </c>
      <c r="BZ97" s="1"/>
      <c r="CA97" s="621">
        <f t="shared" si="43"/>
        <v>0</v>
      </c>
      <c r="CB97" s="622">
        <f>DH92</f>
        <v>0.1147</v>
      </c>
      <c r="CC97" s="623">
        <f>DH93</f>
        <v>0</v>
      </c>
      <c r="CD97" s="623">
        <f>DH94</f>
        <v>1.66E-2</v>
      </c>
      <c r="CE97" s="623">
        <f>DH95</f>
        <v>0.31919999999999998</v>
      </c>
      <c r="CF97" s="623">
        <f>DH96</f>
        <v>0</v>
      </c>
      <c r="CG97" s="623">
        <f>DH97</f>
        <v>0.54949999999999999</v>
      </c>
      <c r="CH97" s="624">
        <f>DH98</f>
        <v>0</v>
      </c>
      <c r="CI97" s="622">
        <f>CZ114</f>
        <v>0</v>
      </c>
      <c r="CJ97" s="623">
        <f>CZ115</f>
        <v>0</v>
      </c>
      <c r="CK97" s="623">
        <f>CZ116</f>
        <v>0</v>
      </c>
      <c r="CL97" s="623">
        <f>CZ117</f>
        <v>0</v>
      </c>
      <c r="CM97" s="623">
        <f>CZ118</f>
        <v>0.09</v>
      </c>
      <c r="CN97" s="623">
        <f>CZ119</f>
        <v>0</v>
      </c>
      <c r="CO97" s="624">
        <f>CZ120</f>
        <v>0</v>
      </c>
      <c r="CX97" s="586"/>
      <c r="CY97" s="601" t="s">
        <v>151</v>
      </c>
      <c r="CZ97" s="576">
        <v>6.0000000000000001E-3</v>
      </c>
      <c r="DA97" s="576">
        <v>0.1484</v>
      </c>
      <c r="DB97" s="576">
        <v>0.1646</v>
      </c>
      <c r="DC97" s="576">
        <v>0.42449999999999999</v>
      </c>
      <c r="DD97" s="576">
        <v>0.69930000000000003</v>
      </c>
      <c r="DE97" s="576">
        <v>0.3337</v>
      </c>
      <c r="DF97" s="576">
        <v>0.54949999999999999</v>
      </c>
      <c r="DG97" s="576">
        <v>0.54949999999999999</v>
      </c>
      <c r="DH97" s="576">
        <v>0.54949999999999999</v>
      </c>
      <c r="DI97" s="576">
        <v>0.54949999999999999</v>
      </c>
    </row>
    <row r="98" spans="1:129">
      <c r="A98" s="783" t="str">
        <f>Historico!A98</f>
        <v xml:space="preserve">           j) VAD SER 100 Empresa Convencional</v>
      </c>
      <c r="B98" s="16">
        <f>+Historico!N98</f>
        <v>0.99250000000000005</v>
      </c>
      <c r="C98" s="55">
        <f t="shared" si="37"/>
        <v>0.98939999999999995</v>
      </c>
      <c r="D98" s="76">
        <f t="shared" si="38"/>
        <v>-3.123425692695303E-3</v>
      </c>
      <c r="F98" s="55">
        <f>IF(IF(ResumenIndicadores!$F$11="Ft-1",B98,C98)=0,"",IF(ResumenIndicadores!$F$11="Ft-1",B98,C98))</f>
        <v>0.99250000000000005</v>
      </c>
      <c r="G98" s="107"/>
      <c r="H98" s="107"/>
      <c r="I98" s="107"/>
      <c r="J98" s="107"/>
      <c r="M98" s="823"/>
      <c r="N98" s="347" t="s">
        <v>156</v>
      </c>
      <c r="O98" s="278"/>
      <c r="P98" s="279"/>
      <c r="Q98" s="576">
        <v>0.82720000000000005</v>
      </c>
      <c r="R98" s="576">
        <v>4.4600000000000001E-2</v>
      </c>
      <c r="S98" s="576">
        <v>7.7000000000000002E-3</v>
      </c>
      <c r="T98" s="576">
        <v>0.1205</v>
      </c>
      <c r="X98" s="823"/>
      <c r="Y98" s="347" t="s">
        <v>156</v>
      </c>
      <c r="Z98" s="278"/>
      <c r="AA98" s="279"/>
      <c r="AB98" s="611">
        <f t="shared" si="39"/>
        <v>1.0499749371615812</v>
      </c>
      <c r="AC98" s="611">
        <f t="shared" si="40"/>
        <v>0.82081476766390837</v>
      </c>
      <c r="AD98" s="611">
        <f t="shared" si="44"/>
        <v>0.85586590855583955</v>
      </c>
      <c r="AE98" s="611">
        <f t="shared" si="41"/>
        <v>0.64450105473456876</v>
      </c>
      <c r="AI98" s="823"/>
      <c r="AJ98" s="347" t="s">
        <v>156</v>
      </c>
      <c r="AK98" s="278"/>
      <c r="AL98" s="279"/>
      <c r="AM98" s="611">
        <f>CZ90</f>
        <v>208.463032</v>
      </c>
      <c r="AN98" s="611">
        <f>DA90*(1+AS98)</f>
        <v>2.5790000000000002</v>
      </c>
      <c r="AO98" s="611">
        <f>DB90*DA90*(1+DA121)</f>
        <v>924.80790833333344</v>
      </c>
      <c r="AP98" s="611">
        <f>DC90*DA90*(1+DA122)</f>
        <v>5223.180554884616</v>
      </c>
      <c r="AR98" s="1"/>
      <c r="AS98" s="621">
        <f t="shared" si="42"/>
        <v>0</v>
      </c>
      <c r="AT98" s="622">
        <f>DI92</f>
        <v>0.1147</v>
      </c>
      <c r="AU98" s="623">
        <f>DI93</f>
        <v>0</v>
      </c>
      <c r="AV98" s="623">
        <f>DI94</f>
        <v>1.66E-2</v>
      </c>
      <c r="AW98" s="623">
        <f>DI95</f>
        <v>0.31919999999999998</v>
      </c>
      <c r="AX98" s="623">
        <f>DI96</f>
        <v>0</v>
      </c>
      <c r="AY98" s="623">
        <f>DI97</f>
        <v>0.54949999999999999</v>
      </c>
      <c r="AZ98" s="624">
        <f>DI98</f>
        <v>0</v>
      </c>
      <c r="BA98" s="622">
        <f>DA114</f>
        <v>0</v>
      </c>
      <c r="BB98" s="623">
        <f>DA115</f>
        <v>0</v>
      </c>
      <c r="BC98" s="623">
        <f>DA116</f>
        <v>0</v>
      </c>
      <c r="BD98" s="623">
        <f>DA117</f>
        <v>0</v>
      </c>
      <c r="BE98" s="623">
        <f>DA118</f>
        <v>0.06</v>
      </c>
      <c r="BF98" s="623">
        <f>DA119</f>
        <v>0</v>
      </c>
      <c r="BG98" s="624">
        <f>DA120</f>
        <v>0</v>
      </c>
      <c r="BQ98" s="823"/>
      <c r="BR98" s="347" t="s">
        <v>156</v>
      </c>
      <c r="BS98" s="278"/>
      <c r="BT98" s="279"/>
      <c r="BU98" s="611">
        <f>CZ89</f>
        <v>198.54096000000001</v>
      </c>
      <c r="BV98" s="611">
        <f>DA89*(1+CA98)</f>
        <v>3.1419999999999999</v>
      </c>
      <c r="BW98" s="611">
        <f>DB89*DA89*(1+CZ121)</f>
        <v>1080.5523378</v>
      </c>
      <c r="BX98" s="611">
        <f>DC89*DA89*(1+CZ122)</f>
        <v>8104.2234400000007</v>
      </c>
      <c r="BZ98" s="1"/>
      <c r="CA98" s="621">
        <f t="shared" si="43"/>
        <v>0</v>
      </c>
      <c r="CB98" s="622">
        <f>DI92</f>
        <v>0.1147</v>
      </c>
      <c r="CC98" s="623">
        <f>DI93</f>
        <v>0</v>
      </c>
      <c r="CD98" s="623">
        <f>DI94</f>
        <v>1.66E-2</v>
      </c>
      <c r="CE98" s="623">
        <f>DI95</f>
        <v>0.31919999999999998</v>
      </c>
      <c r="CF98" s="623">
        <f>DI96</f>
        <v>0</v>
      </c>
      <c r="CG98" s="623">
        <f>DI97</f>
        <v>0.54949999999999999</v>
      </c>
      <c r="CH98" s="624">
        <f>DI98</f>
        <v>0</v>
      </c>
      <c r="CI98" s="622">
        <f>CZ114</f>
        <v>0</v>
      </c>
      <c r="CJ98" s="623">
        <f>CZ115</f>
        <v>0</v>
      </c>
      <c r="CK98" s="623">
        <f>CZ116</f>
        <v>0</v>
      </c>
      <c r="CL98" s="623">
        <f>CZ117</f>
        <v>0</v>
      </c>
      <c r="CM98" s="623">
        <f>CZ118</f>
        <v>0.09</v>
      </c>
      <c r="CN98" s="623">
        <f>CZ119</f>
        <v>0</v>
      </c>
      <c r="CO98" s="624">
        <f>CZ120</f>
        <v>0</v>
      </c>
      <c r="CX98" s="587"/>
      <c r="CY98" s="601" t="s">
        <v>103</v>
      </c>
      <c r="CZ98" s="577">
        <v>0</v>
      </c>
      <c r="DA98" s="577">
        <v>0</v>
      </c>
      <c r="DB98" s="577">
        <v>0</v>
      </c>
      <c r="DC98" s="577">
        <v>0</v>
      </c>
      <c r="DD98" s="577">
        <v>0</v>
      </c>
      <c r="DE98" s="577">
        <v>0</v>
      </c>
      <c r="DF98" s="577">
        <v>0</v>
      </c>
      <c r="DG98" s="577">
        <v>0</v>
      </c>
      <c r="DH98" s="577">
        <v>0</v>
      </c>
      <c r="DI98" s="577">
        <v>0</v>
      </c>
    </row>
    <row r="99" spans="1:129">
      <c r="A99" s="775" t="str">
        <f>Historico!A99</f>
        <v>2. VALOR AGREGADO DE DISTRIBUCIÓN EN BT (FAVADBT)</v>
      </c>
      <c r="B99" s="15" t="str">
        <f>+Historico!N99</f>
        <v/>
      </c>
      <c r="C99" s="55"/>
      <c r="D99" s="76"/>
      <c r="F99" s="55" t="str">
        <f>IF(IF(ResumenIndicadores!$F$11="Ft-1",B99,C99)=0,"",IF(ResumenIndicadores!$F$11="Ft-1",B99,C99))</f>
        <v/>
      </c>
      <c r="G99" s="107"/>
      <c r="H99" s="107"/>
      <c r="I99" s="107"/>
      <c r="J99" s="107"/>
      <c r="M99" s="562" t="s">
        <v>474</v>
      </c>
      <c r="N99" s="341"/>
      <c r="O99" s="283"/>
      <c r="P99" s="301"/>
      <c r="Q99" s="348" t="s">
        <v>78</v>
      </c>
      <c r="R99" s="348" t="s">
        <v>79</v>
      </c>
      <c r="S99" s="348" t="s">
        <v>80</v>
      </c>
      <c r="T99" s="348" t="s">
        <v>81</v>
      </c>
      <c r="X99" s="562" t="s">
        <v>474</v>
      </c>
      <c r="Y99" s="341"/>
      <c r="Z99" s="283"/>
      <c r="AA99" s="301"/>
      <c r="AB99" s="335" t="s">
        <v>78</v>
      </c>
      <c r="AC99" s="335" t="s">
        <v>79</v>
      </c>
      <c r="AD99" s="335" t="s">
        <v>80</v>
      </c>
      <c r="AE99" s="335" t="s">
        <v>81</v>
      </c>
      <c r="AI99" s="562" t="s">
        <v>474</v>
      </c>
      <c r="AJ99" s="341"/>
      <c r="AK99" s="283"/>
      <c r="AL99" s="301"/>
      <c r="AM99" s="335" t="s">
        <v>78</v>
      </c>
      <c r="AN99" s="335" t="s">
        <v>79</v>
      </c>
      <c r="AO99" s="335" t="s">
        <v>80</v>
      </c>
      <c r="AP99" s="335" t="s">
        <v>81</v>
      </c>
      <c r="AR99" s="1"/>
      <c r="AS99" s="335" t="s">
        <v>154</v>
      </c>
      <c r="AT99" s="336"/>
      <c r="AU99" s="337"/>
      <c r="AV99" s="337"/>
      <c r="AW99" s="337"/>
      <c r="AX99" s="337"/>
      <c r="AY99" s="337"/>
      <c r="AZ99" s="338"/>
      <c r="BA99" s="336"/>
      <c r="BB99" s="337"/>
      <c r="BC99" s="337"/>
      <c r="BD99" s="337"/>
      <c r="BE99" s="337"/>
      <c r="BF99" s="337"/>
      <c r="BG99" s="338"/>
      <c r="BQ99" s="562" t="s">
        <v>474</v>
      </c>
      <c r="BR99" s="341"/>
      <c r="BS99" s="283"/>
      <c r="BT99" s="301"/>
      <c r="BU99" s="335" t="s">
        <v>78</v>
      </c>
      <c r="BV99" s="335" t="s">
        <v>79</v>
      </c>
      <c r="BW99" s="335" t="s">
        <v>80</v>
      </c>
      <c r="BX99" s="335" t="s">
        <v>81</v>
      </c>
      <c r="BZ99" s="1"/>
      <c r="CA99" s="335" t="s">
        <v>154</v>
      </c>
      <c r="CB99" s="336"/>
      <c r="CC99" s="337"/>
      <c r="CD99" s="337"/>
      <c r="CE99" s="337"/>
      <c r="CF99" s="337"/>
      <c r="CG99" s="337"/>
      <c r="CH99" s="338"/>
      <c r="CI99" s="336"/>
      <c r="CJ99" s="337"/>
      <c r="CK99" s="337"/>
      <c r="CL99" s="337"/>
      <c r="CM99" s="337"/>
      <c r="CN99" s="337"/>
      <c r="CO99" s="338"/>
      <c r="CX99" s="585" t="s">
        <v>79</v>
      </c>
      <c r="CY99" s="601" t="s">
        <v>99</v>
      </c>
      <c r="CZ99" s="579">
        <v>0.12180000000000001</v>
      </c>
      <c r="DA99" s="579">
        <v>0.16270000000000001</v>
      </c>
      <c r="DB99" s="579">
        <v>0.105</v>
      </c>
      <c r="DC99" s="579">
        <v>6.1000000000000004E-3</v>
      </c>
      <c r="DD99" s="579">
        <v>1.5299999999999999E-2</v>
      </c>
      <c r="DE99" s="579">
        <v>7.5700000000000003E-2</v>
      </c>
      <c r="DF99" s="579">
        <v>1.11E-2</v>
      </c>
      <c r="DG99" s="579">
        <v>1.9199999999999998E-2</v>
      </c>
      <c r="DH99" s="579">
        <v>1.11E-2</v>
      </c>
      <c r="DI99" s="579">
        <v>1.9199999999999998E-2</v>
      </c>
      <c r="DY99" s="266"/>
    </row>
    <row r="100" spans="1:129">
      <c r="A100" s="783" t="str">
        <f>Historico!A100</f>
        <v xml:space="preserve">           a) Sector 1</v>
      </c>
      <c r="B100" s="16">
        <f>+Historico!N100</f>
        <v>0.98350000000000004</v>
      </c>
      <c r="C100" s="55">
        <f t="shared" ref="C100:C109" si="45">ROUND(Q100*AB100+R100*AC100+S100*AD100+T100*AE100,4)</f>
        <v>0.98040000000000005</v>
      </c>
      <c r="D100" s="76">
        <f t="shared" ref="D100:D109" si="46">+C100/B100-1</f>
        <v>-3.1520081342145678E-3</v>
      </c>
      <c r="F100" s="55">
        <f>IF(IF(ResumenIndicadores!$F$11="Ft-1",B100,C100)=0,"",IF(ResumenIndicadores!$F$11="Ft-1",B100,C100))</f>
        <v>0.98350000000000004</v>
      </c>
      <c r="G100" s="107"/>
      <c r="H100" s="107"/>
      <c r="I100" s="107"/>
      <c r="J100" s="107"/>
      <c r="K100" s="9"/>
      <c r="L100" s="9"/>
      <c r="M100" s="340" t="s">
        <v>93</v>
      </c>
      <c r="N100" s="341"/>
      <c r="O100" s="278"/>
      <c r="P100" s="279"/>
      <c r="Q100" s="576">
        <v>0.78779999999999994</v>
      </c>
      <c r="R100" s="576">
        <v>8.5000000000000006E-2</v>
      </c>
      <c r="S100" s="576">
        <v>8.6999999999999994E-3</v>
      </c>
      <c r="T100" s="576">
        <v>0.11849999999999999</v>
      </c>
      <c r="X100" s="340" t="s">
        <v>93</v>
      </c>
      <c r="Y100" s="341"/>
      <c r="Z100" s="278"/>
      <c r="AA100" s="279"/>
      <c r="AB100" s="611">
        <f t="shared" ref="AB100:AB109" si="47">AM100/BU100</f>
        <v>1.0499749371615812</v>
      </c>
      <c r="AC100" s="611">
        <f t="shared" ref="AC100:AC109" si="48">AN100/BV100</f>
        <v>0.81658424274897679</v>
      </c>
      <c r="AD100" s="611">
        <f t="shared" ref="AD100:AD109" si="49">AO100/BW100</f>
        <v>0.85586590855583955</v>
      </c>
      <c r="AE100" s="611">
        <f t="shared" ref="AE100:AE109" si="50">AP100/BX100</f>
        <v>0.64450105473456876</v>
      </c>
      <c r="AI100" s="340" t="s">
        <v>93</v>
      </c>
      <c r="AJ100" s="341"/>
      <c r="AK100" s="278"/>
      <c r="AL100" s="279"/>
      <c r="AM100" s="611">
        <f>CZ90</f>
        <v>208.463032</v>
      </c>
      <c r="AN100" s="611">
        <f>DA90*(1+AS100)</f>
        <v>2.6060021300000002</v>
      </c>
      <c r="AO100" s="611">
        <f>DB90*DA90*(1+DA121)</f>
        <v>924.80790833333344</v>
      </c>
      <c r="AP100" s="611">
        <f>DC90*DA90*(1+DA122)</f>
        <v>5223.180554884616</v>
      </c>
      <c r="AR100" s="1"/>
      <c r="AS100" s="621">
        <f t="shared" ref="AS100:AS109" si="51">AT100*BA100+AU100*BB100+AV100*BC100+AW100*BD100+AX100*BE100+AY100*BF100+AZ100*BG100</f>
        <v>1.0469999999999998E-2</v>
      </c>
      <c r="AT100" s="622">
        <f>CZ99</f>
        <v>0.12180000000000001</v>
      </c>
      <c r="AU100" s="623">
        <f>CZ100</f>
        <v>0.58930000000000005</v>
      </c>
      <c r="AV100" s="623">
        <f>CZ101</f>
        <v>2.5399999999999999E-2</v>
      </c>
      <c r="AW100" s="623">
        <f>CZ102</f>
        <v>8.43E-2</v>
      </c>
      <c r="AX100" s="623">
        <f>CZ103</f>
        <v>0.17449999999999999</v>
      </c>
      <c r="AY100" s="623">
        <f>CZ104</f>
        <v>4.7000000000000002E-3</v>
      </c>
      <c r="AZ100" s="624">
        <f>CZ105</f>
        <v>0</v>
      </c>
      <c r="BA100" s="622">
        <f>DA114</f>
        <v>0</v>
      </c>
      <c r="BB100" s="623">
        <f>DA115</f>
        <v>0</v>
      </c>
      <c r="BC100" s="623">
        <f>DA116</f>
        <v>0</v>
      </c>
      <c r="BD100" s="623">
        <f>DA117</f>
        <v>0</v>
      </c>
      <c r="BE100" s="623">
        <f>DA118</f>
        <v>0.06</v>
      </c>
      <c r="BF100" s="623">
        <f>DA119</f>
        <v>0</v>
      </c>
      <c r="BG100" s="624">
        <f>DA120</f>
        <v>0</v>
      </c>
      <c r="BQ100" s="340" t="s">
        <v>93</v>
      </c>
      <c r="BR100" s="341"/>
      <c r="BS100" s="278"/>
      <c r="BT100" s="279"/>
      <c r="BU100" s="611">
        <f>CZ89</f>
        <v>198.54096000000001</v>
      </c>
      <c r="BV100" s="611">
        <f>DA89*(1+CA100)</f>
        <v>3.1913451100000003</v>
      </c>
      <c r="BW100" s="611">
        <f>DB89*DA89*(1+CZ121)</f>
        <v>1080.5523378</v>
      </c>
      <c r="BX100" s="611">
        <f>DC89*DA89*(1+CZ122)</f>
        <v>8104.2234400000007</v>
      </c>
      <c r="BZ100" s="1"/>
      <c r="CA100" s="621">
        <f t="shared" ref="CA100:CA109" si="52">CB100*CI100+CC100*CJ100+CD100*CK100+CE100*CL100+CF100*CM100+CG100*CN100+CH100*CO100</f>
        <v>1.5704999999999997E-2</v>
      </c>
      <c r="CB100" s="622">
        <f>CZ99</f>
        <v>0.12180000000000001</v>
      </c>
      <c r="CC100" s="623">
        <f>CZ100</f>
        <v>0.58930000000000005</v>
      </c>
      <c r="CD100" s="623">
        <f>CZ101</f>
        <v>2.5399999999999999E-2</v>
      </c>
      <c r="CE100" s="623">
        <f>CZ102</f>
        <v>8.43E-2</v>
      </c>
      <c r="CF100" s="623">
        <f>CZ103</f>
        <v>0.17449999999999999</v>
      </c>
      <c r="CG100" s="623">
        <f>CZ104</f>
        <v>4.7000000000000002E-3</v>
      </c>
      <c r="CH100" s="624">
        <f>CZ105</f>
        <v>0</v>
      </c>
      <c r="CI100" s="622">
        <f>CZ114</f>
        <v>0</v>
      </c>
      <c r="CJ100" s="623">
        <f>CZ115</f>
        <v>0</v>
      </c>
      <c r="CK100" s="623">
        <f>CZ116</f>
        <v>0</v>
      </c>
      <c r="CL100" s="623">
        <f>CZ117</f>
        <v>0</v>
      </c>
      <c r="CM100" s="623">
        <f>CZ118</f>
        <v>0.09</v>
      </c>
      <c r="CN100" s="623">
        <f>CZ119</f>
        <v>0</v>
      </c>
      <c r="CO100" s="624">
        <f>CZ120</f>
        <v>0</v>
      </c>
      <c r="CX100" s="586"/>
      <c r="CY100" s="601" t="s">
        <v>150</v>
      </c>
      <c r="CZ100" s="576">
        <v>0.58930000000000005</v>
      </c>
      <c r="DA100" s="576">
        <v>0.42630000000000001</v>
      </c>
      <c r="DB100" s="576">
        <v>0.43149999999999999</v>
      </c>
      <c r="DC100" s="576">
        <v>0.3604</v>
      </c>
      <c r="DD100" s="576">
        <v>0.44330000000000003</v>
      </c>
      <c r="DE100" s="576">
        <v>0.80210000000000004</v>
      </c>
      <c r="DF100" s="576">
        <v>0.2442</v>
      </c>
      <c r="DG100" s="576">
        <v>0.4219</v>
      </c>
      <c r="DH100" s="576">
        <v>0.2442</v>
      </c>
      <c r="DI100" s="576">
        <v>0.4219</v>
      </c>
    </row>
    <row r="101" spans="1:129">
      <c r="A101" s="783" t="str">
        <f>Historico!A101</f>
        <v xml:space="preserve">           b) Sector 2</v>
      </c>
      <c r="B101" s="16">
        <f>+Historico!N101</f>
        <v>0.99760000000000004</v>
      </c>
      <c r="C101" s="55">
        <f t="shared" si="45"/>
        <v>0.99470000000000003</v>
      </c>
      <c r="D101" s="76">
        <f t="shared" si="46"/>
        <v>-2.9069767441860517E-3</v>
      </c>
      <c r="F101" s="55">
        <f>IF(IF(ResumenIndicadores!$F$11="Ft-1",B101,C101)=0,"",IF(ResumenIndicadores!$F$11="Ft-1",B101,C101))</f>
        <v>0.99760000000000004</v>
      </c>
      <c r="G101" s="107"/>
      <c r="H101" s="107"/>
      <c r="I101" s="107"/>
      <c r="J101" s="107"/>
      <c r="M101" s="340" t="s">
        <v>94</v>
      </c>
      <c r="N101" s="341"/>
      <c r="O101" s="278"/>
      <c r="P101" s="279"/>
      <c r="Q101" s="576">
        <v>0.81910000000000005</v>
      </c>
      <c r="R101" s="576">
        <v>8.4199999999999997E-2</v>
      </c>
      <c r="S101" s="576">
        <v>1.8200000000000001E-2</v>
      </c>
      <c r="T101" s="576">
        <v>7.85E-2</v>
      </c>
      <c r="X101" s="340" t="s">
        <v>94</v>
      </c>
      <c r="Y101" s="341"/>
      <c r="Z101" s="278"/>
      <c r="AA101" s="279"/>
      <c r="AB101" s="611">
        <f t="shared" si="47"/>
        <v>1.0499749371615812</v>
      </c>
      <c r="AC101" s="611">
        <f t="shared" si="48"/>
        <v>0.81366601507976999</v>
      </c>
      <c r="AD101" s="611">
        <f t="shared" si="49"/>
        <v>0.85586590855583955</v>
      </c>
      <c r="AE101" s="611">
        <f t="shared" si="50"/>
        <v>0.64450105473456876</v>
      </c>
      <c r="AI101" s="340" t="s">
        <v>94</v>
      </c>
      <c r="AJ101" s="341"/>
      <c r="AK101" s="278"/>
      <c r="AL101" s="279"/>
      <c r="AM101" s="611">
        <f>CZ90</f>
        <v>208.463032</v>
      </c>
      <c r="AN101" s="611">
        <f>DA90*(1+AS101)</f>
        <v>2.6251279940000005</v>
      </c>
      <c r="AO101" s="611">
        <f>DB90*DA90*(1+DA121)</f>
        <v>924.80790833333344</v>
      </c>
      <c r="AP101" s="611">
        <f>DC90*DA90*(1+DA122)</f>
        <v>5223.180554884616</v>
      </c>
      <c r="AR101" s="1"/>
      <c r="AS101" s="621">
        <f t="shared" si="51"/>
        <v>1.7885999999999999E-2</v>
      </c>
      <c r="AT101" s="622">
        <f>DA99</f>
        <v>0.16270000000000001</v>
      </c>
      <c r="AU101" s="623">
        <f>DA100</f>
        <v>0.42630000000000001</v>
      </c>
      <c r="AV101" s="623">
        <f>DA101</f>
        <v>3.5999999999999999E-3</v>
      </c>
      <c r="AW101" s="623">
        <f>DA102</f>
        <v>4.2799999999999998E-2</v>
      </c>
      <c r="AX101" s="623">
        <f>DA103</f>
        <v>0.29809999999999998</v>
      </c>
      <c r="AY101" s="623">
        <f>DA104</f>
        <v>6.6500000000000004E-2</v>
      </c>
      <c r="AZ101" s="624">
        <f>DA105</f>
        <v>0</v>
      </c>
      <c r="BA101" s="622">
        <f>DA114</f>
        <v>0</v>
      </c>
      <c r="BB101" s="623">
        <f>DA115</f>
        <v>0</v>
      </c>
      <c r="BC101" s="623">
        <f>DA116</f>
        <v>0</v>
      </c>
      <c r="BD101" s="623">
        <f>DA117</f>
        <v>0</v>
      </c>
      <c r="BE101" s="623">
        <f>DA118</f>
        <v>0.06</v>
      </c>
      <c r="BF101" s="623">
        <f>DA119</f>
        <v>0</v>
      </c>
      <c r="BG101" s="624">
        <f>DA120</f>
        <v>0</v>
      </c>
      <c r="BQ101" s="340" t="s">
        <v>94</v>
      </c>
      <c r="BR101" s="341"/>
      <c r="BS101" s="278"/>
      <c r="BT101" s="279"/>
      <c r="BU101" s="611">
        <f>CZ89</f>
        <v>198.54096000000001</v>
      </c>
      <c r="BV101" s="611">
        <f>DA89*(1+CA101)</f>
        <v>3.226296718</v>
      </c>
      <c r="BW101" s="611">
        <f>DB89*DA89*(1+CZ121)</f>
        <v>1080.5523378</v>
      </c>
      <c r="BX101" s="611">
        <f>DC89*DA89*(1+CZ122)</f>
        <v>8104.2234400000007</v>
      </c>
      <c r="BZ101" s="1"/>
      <c r="CA101" s="621">
        <f t="shared" si="52"/>
        <v>2.6828999999999995E-2</v>
      </c>
      <c r="CB101" s="622">
        <f>DA99</f>
        <v>0.16270000000000001</v>
      </c>
      <c r="CC101" s="623">
        <f>DA100</f>
        <v>0.42630000000000001</v>
      </c>
      <c r="CD101" s="623">
        <f>DA101</f>
        <v>3.5999999999999999E-3</v>
      </c>
      <c r="CE101" s="623">
        <f>DA102</f>
        <v>4.2799999999999998E-2</v>
      </c>
      <c r="CF101" s="623">
        <f>DA103</f>
        <v>0.29809999999999998</v>
      </c>
      <c r="CG101" s="623">
        <f>DA104</f>
        <v>6.6500000000000004E-2</v>
      </c>
      <c r="CH101" s="624">
        <f>DA105</f>
        <v>0</v>
      </c>
      <c r="CI101" s="622">
        <f>CZ114</f>
        <v>0</v>
      </c>
      <c r="CJ101" s="623">
        <f>CZ115</f>
        <v>0</v>
      </c>
      <c r="CK101" s="623">
        <f>CZ116</f>
        <v>0</v>
      </c>
      <c r="CL101" s="623">
        <f>CZ117</f>
        <v>0</v>
      </c>
      <c r="CM101" s="623">
        <f>CZ118</f>
        <v>0.09</v>
      </c>
      <c r="CN101" s="623">
        <f>CZ119</f>
        <v>0</v>
      </c>
      <c r="CO101" s="624">
        <f>CZ120</f>
        <v>0</v>
      </c>
      <c r="CX101" s="586"/>
      <c r="CY101" s="601" t="s">
        <v>100</v>
      </c>
      <c r="CZ101" s="576">
        <v>2.5399999999999999E-2</v>
      </c>
      <c r="DA101" s="576">
        <v>3.5999999999999999E-3</v>
      </c>
      <c r="DB101" s="576">
        <v>2.01E-2</v>
      </c>
      <c r="DC101" s="576">
        <v>2.8E-3</v>
      </c>
      <c r="DD101" s="576">
        <v>1E-3</v>
      </c>
      <c r="DE101" s="576">
        <v>1.9199999999999998E-2</v>
      </c>
      <c r="DF101" s="576">
        <v>1.6000000000000001E-3</v>
      </c>
      <c r="DG101" s="576">
        <v>2.8E-3</v>
      </c>
      <c r="DH101" s="576">
        <v>1.6000000000000001E-3</v>
      </c>
      <c r="DI101" s="576">
        <v>2.8E-3</v>
      </c>
    </row>
    <row r="102" spans="1:129">
      <c r="A102" s="783" t="str">
        <f>Historico!A102</f>
        <v xml:space="preserve">           c) Sector 3</v>
      </c>
      <c r="B102" s="16">
        <f>+Historico!N102</f>
        <v>0.98550000000000004</v>
      </c>
      <c r="C102" s="55">
        <f t="shared" si="45"/>
        <v>0.98250000000000004</v>
      </c>
      <c r="D102" s="76">
        <f t="shared" si="46"/>
        <v>-3.0441400304414001E-3</v>
      </c>
      <c r="F102" s="55">
        <f>IF(IF(ResumenIndicadores!$F$11="Ft-1",B102,C102)=0,"",IF(ResumenIndicadores!$F$11="Ft-1",B102,C102))</f>
        <v>0.98550000000000004</v>
      </c>
      <c r="G102" s="107"/>
      <c r="H102" s="107"/>
      <c r="I102" s="107"/>
      <c r="J102" s="107"/>
      <c r="M102" s="340" t="s">
        <v>95</v>
      </c>
      <c r="N102" s="341"/>
      <c r="O102" s="278"/>
      <c r="P102" s="279"/>
      <c r="Q102" s="576">
        <v>0.78910000000000002</v>
      </c>
      <c r="R102" s="576">
        <v>8.2900000000000001E-2</v>
      </c>
      <c r="S102" s="576">
        <v>1.9400000000000001E-2</v>
      </c>
      <c r="T102" s="576">
        <v>0.1086</v>
      </c>
      <c r="X102" s="340" t="s">
        <v>95</v>
      </c>
      <c r="Y102" s="341"/>
      <c r="Z102" s="278"/>
      <c r="AA102" s="279"/>
      <c r="AB102" s="611">
        <f t="shared" si="47"/>
        <v>1.0499749371615812</v>
      </c>
      <c r="AC102" s="611">
        <f t="shared" si="48"/>
        <v>0.81251959308373889</v>
      </c>
      <c r="AD102" s="611">
        <f t="shared" si="49"/>
        <v>0.85586590855583955</v>
      </c>
      <c r="AE102" s="611">
        <f t="shared" si="50"/>
        <v>0.64450105473456876</v>
      </c>
      <c r="AI102" s="340" t="s">
        <v>95</v>
      </c>
      <c r="AJ102" s="341"/>
      <c r="AK102" s="278"/>
      <c r="AL102" s="279"/>
      <c r="AM102" s="611">
        <f>CZ90</f>
        <v>208.463032</v>
      </c>
      <c r="AN102" s="611">
        <f>DA90*(1+AS102)</f>
        <v>2.6327566760000005</v>
      </c>
      <c r="AO102" s="611">
        <f>DB90*DA90*(1+DA121)</f>
        <v>924.80790833333344</v>
      </c>
      <c r="AP102" s="611">
        <f>DC90*DA90*(1+DA122)</f>
        <v>5223.180554884616</v>
      </c>
      <c r="AR102" s="1"/>
      <c r="AS102" s="621">
        <f t="shared" si="51"/>
        <v>2.0843999999999998E-2</v>
      </c>
      <c r="AT102" s="622">
        <f>DB99</f>
        <v>0.105</v>
      </c>
      <c r="AU102" s="623">
        <f>DB100</f>
        <v>0.43149999999999999</v>
      </c>
      <c r="AV102" s="623">
        <f>DB101</f>
        <v>2.01E-2</v>
      </c>
      <c r="AW102" s="623">
        <f>DB102</f>
        <v>4.7899999999999998E-2</v>
      </c>
      <c r="AX102" s="623">
        <f>DB103</f>
        <v>0.34739999999999999</v>
      </c>
      <c r="AY102" s="623">
        <f>DB104</f>
        <v>4.8099999999999997E-2</v>
      </c>
      <c r="AZ102" s="624">
        <f>DB105</f>
        <v>0</v>
      </c>
      <c r="BA102" s="622">
        <f>DA114</f>
        <v>0</v>
      </c>
      <c r="BB102" s="623">
        <f>DA115</f>
        <v>0</v>
      </c>
      <c r="BC102" s="623">
        <f>DA116</f>
        <v>0</v>
      </c>
      <c r="BD102" s="623">
        <f>DA117</f>
        <v>0</v>
      </c>
      <c r="BE102" s="623">
        <f>DA118</f>
        <v>0.06</v>
      </c>
      <c r="BF102" s="623">
        <f>DA119</f>
        <v>0</v>
      </c>
      <c r="BG102" s="624">
        <f>DA120</f>
        <v>0</v>
      </c>
      <c r="BQ102" s="340" t="s">
        <v>95</v>
      </c>
      <c r="BR102" s="341"/>
      <c r="BS102" s="278"/>
      <c r="BT102" s="279"/>
      <c r="BU102" s="611">
        <f>CZ89</f>
        <v>198.54096000000001</v>
      </c>
      <c r="BV102" s="611">
        <f>DA89*(1+CA102)</f>
        <v>3.240237772</v>
      </c>
      <c r="BW102" s="611">
        <f>DB89*DA89*(1+CZ121)</f>
        <v>1080.5523378</v>
      </c>
      <c r="BX102" s="611">
        <f>DC89*DA89*(1+CZ122)</f>
        <v>8104.2234400000007</v>
      </c>
      <c r="BZ102" s="1"/>
      <c r="CA102" s="621">
        <f t="shared" si="52"/>
        <v>3.1265999999999995E-2</v>
      </c>
      <c r="CB102" s="622">
        <f>DB99</f>
        <v>0.105</v>
      </c>
      <c r="CC102" s="623">
        <f>DB100</f>
        <v>0.43149999999999999</v>
      </c>
      <c r="CD102" s="623">
        <f>DB101</f>
        <v>2.01E-2</v>
      </c>
      <c r="CE102" s="623">
        <f>DB102</f>
        <v>4.7899999999999998E-2</v>
      </c>
      <c r="CF102" s="623">
        <f>DB103</f>
        <v>0.34739999999999999</v>
      </c>
      <c r="CG102" s="623">
        <f>DB104</f>
        <v>4.8099999999999997E-2</v>
      </c>
      <c r="CH102" s="624">
        <f>DB105</f>
        <v>0</v>
      </c>
      <c r="CI102" s="622">
        <f>CZ114</f>
        <v>0</v>
      </c>
      <c r="CJ102" s="623">
        <f>CZ115</f>
        <v>0</v>
      </c>
      <c r="CK102" s="623">
        <f>CZ116</f>
        <v>0</v>
      </c>
      <c r="CL102" s="623">
        <f>CZ117</f>
        <v>0</v>
      </c>
      <c r="CM102" s="623">
        <f>CZ118</f>
        <v>0.09</v>
      </c>
      <c r="CN102" s="623">
        <f>CZ119</f>
        <v>0</v>
      </c>
      <c r="CO102" s="624">
        <f>CZ120</f>
        <v>0</v>
      </c>
      <c r="CX102" s="586"/>
      <c r="CY102" s="601" t="s">
        <v>101</v>
      </c>
      <c r="CZ102" s="576">
        <v>8.43E-2</v>
      </c>
      <c r="DA102" s="576">
        <v>4.2799999999999998E-2</v>
      </c>
      <c r="DB102" s="576">
        <v>4.7899999999999998E-2</v>
      </c>
      <c r="DC102" s="576">
        <v>7.1599999999999997E-2</v>
      </c>
      <c r="DD102" s="576">
        <v>5.1200000000000002E-2</v>
      </c>
      <c r="DE102" s="576">
        <v>2.4899999999999999E-2</v>
      </c>
      <c r="DF102" s="576">
        <v>2.1100000000000001E-2</v>
      </c>
      <c r="DG102" s="576">
        <v>3.6400000000000002E-2</v>
      </c>
      <c r="DH102" s="576">
        <v>2.1100000000000001E-2</v>
      </c>
      <c r="DI102" s="576">
        <v>3.6400000000000002E-2</v>
      </c>
    </row>
    <row r="103" spans="1:129">
      <c r="A103" s="783" t="str">
        <f>Historico!A103</f>
        <v xml:space="preserve">           d) Sector 4</v>
      </c>
      <c r="B103" s="16">
        <f>+Historico!N103</f>
        <v>0.98109999999999997</v>
      </c>
      <c r="C103" s="55">
        <f t="shared" si="45"/>
        <v>0.97799999999999998</v>
      </c>
      <c r="D103" s="76">
        <f t="shared" si="46"/>
        <v>-3.1597186831108237E-3</v>
      </c>
      <c r="F103" s="55">
        <f>IF(IF(ResumenIndicadores!$F$11="Ft-1",B103,C103)=0,"",IF(ResumenIndicadores!$F$11="Ft-1",B103,C103))</f>
        <v>0.98109999999999997</v>
      </c>
      <c r="G103" s="107"/>
      <c r="H103" s="107"/>
      <c r="I103" s="107"/>
      <c r="J103" s="107"/>
      <c r="M103" s="340" t="s">
        <v>96</v>
      </c>
      <c r="N103" s="341"/>
      <c r="O103" s="278"/>
      <c r="P103" s="279"/>
      <c r="Q103" s="576">
        <v>0.7661</v>
      </c>
      <c r="R103" s="576">
        <v>0.1235</v>
      </c>
      <c r="S103" s="576">
        <v>1.0500000000000001E-2</v>
      </c>
      <c r="T103" s="576">
        <v>9.9900000000000003E-2</v>
      </c>
      <c r="X103" s="340" t="s">
        <v>96</v>
      </c>
      <c r="Y103" s="341"/>
      <c r="Z103" s="278"/>
      <c r="AA103" s="279"/>
      <c r="AB103" s="611">
        <f t="shared" si="47"/>
        <v>1.0499749371615812</v>
      </c>
      <c r="AC103" s="611">
        <f t="shared" si="48"/>
        <v>0.81192817338373469</v>
      </c>
      <c r="AD103" s="611">
        <f t="shared" si="49"/>
        <v>0.85586590855583955</v>
      </c>
      <c r="AE103" s="611">
        <f t="shared" si="50"/>
        <v>0.64450105473456876</v>
      </c>
      <c r="AI103" s="340" t="s">
        <v>96</v>
      </c>
      <c r="AJ103" s="341"/>
      <c r="AK103" s="278"/>
      <c r="AL103" s="279"/>
      <c r="AM103" s="611">
        <f>CZ90</f>
        <v>208.463032</v>
      </c>
      <c r="AN103" s="611">
        <f>DA90*(1+AS103)</f>
        <v>2.6367180200000004</v>
      </c>
      <c r="AO103" s="611">
        <f>DB90*DA90*(1+DA121)</f>
        <v>924.80790833333344</v>
      </c>
      <c r="AP103" s="611">
        <f>DC90*DA90*(1+DA122)</f>
        <v>5223.180554884616</v>
      </c>
      <c r="AR103" s="1"/>
      <c r="AS103" s="621">
        <f t="shared" si="51"/>
        <v>2.2380000000000001E-2</v>
      </c>
      <c r="AT103" s="622">
        <f>DC99</f>
        <v>6.1000000000000004E-3</v>
      </c>
      <c r="AU103" s="623">
        <f>DC100</f>
        <v>0.3604</v>
      </c>
      <c r="AV103" s="623">
        <f>DC101</f>
        <v>2.8E-3</v>
      </c>
      <c r="AW103" s="623">
        <f>DC102</f>
        <v>7.1599999999999997E-2</v>
      </c>
      <c r="AX103" s="623">
        <f>DC103</f>
        <v>0.373</v>
      </c>
      <c r="AY103" s="623">
        <f>DC104</f>
        <v>0.18609999999999999</v>
      </c>
      <c r="AZ103" s="624">
        <f>DC105</f>
        <v>0</v>
      </c>
      <c r="BA103" s="622">
        <f>DA114</f>
        <v>0</v>
      </c>
      <c r="BB103" s="623">
        <f>DA115</f>
        <v>0</v>
      </c>
      <c r="BC103" s="623">
        <f>DA116</f>
        <v>0</v>
      </c>
      <c r="BD103" s="623">
        <f>DA117</f>
        <v>0</v>
      </c>
      <c r="BE103" s="623">
        <f>DA118</f>
        <v>0.06</v>
      </c>
      <c r="BF103" s="623">
        <f>DA119</f>
        <v>0</v>
      </c>
      <c r="BG103" s="624">
        <f>DA120</f>
        <v>0</v>
      </c>
      <c r="BQ103" s="340" t="s">
        <v>96</v>
      </c>
      <c r="BR103" s="341"/>
      <c r="BS103" s="278"/>
      <c r="BT103" s="279"/>
      <c r="BU103" s="611">
        <f>CZ89</f>
        <v>198.54096000000001</v>
      </c>
      <c r="BV103" s="611">
        <f>DA89*(1+CA103)</f>
        <v>3.2474769400000003</v>
      </c>
      <c r="BW103" s="611">
        <f>DB89*DA89*(1+CZ121)</f>
        <v>1080.5523378</v>
      </c>
      <c r="BX103" s="611">
        <f>DC89*DA89*(1+CZ122)</f>
        <v>8104.2234400000007</v>
      </c>
      <c r="BZ103" s="1"/>
      <c r="CA103" s="621">
        <f t="shared" si="52"/>
        <v>3.3569999999999996E-2</v>
      </c>
      <c r="CB103" s="622">
        <f>DC99</f>
        <v>6.1000000000000004E-3</v>
      </c>
      <c r="CC103" s="623">
        <f>DC100</f>
        <v>0.3604</v>
      </c>
      <c r="CD103" s="623">
        <f>DC101</f>
        <v>2.8E-3</v>
      </c>
      <c r="CE103" s="623">
        <f>DC102</f>
        <v>7.1599999999999997E-2</v>
      </c>
      <c r="CF103" s="623">
        <f>DC103</f>
        <v>0.373</v>
      </c>
      <c r="CG103" s="623">
        <f>DC104</f>
        <v>0.18609999999999999</v>
      </c>
      <c r="CH103" s="624">
        <f>DC105</f>
        <v>0</v>
      </c>
      <c r="CI103" s="622">
        <f>CZ114</f>
        <v>0</v>
      </c>
      <c r="CJ103" s="623">
        <f>CZ115</f>
        <v>0</v>
      </c>
      <c r="CK103" s="623">
        <f>CZ116</f>
        <v>0</v>
      </c>
      <c r="CL103" s="623">
        <f>CZ117</f>
        <v>0</v>
      </c>
      <c r="CM103" s="623">
        <f>CZ118</f>
        <v>0.09</v>
      </c>
      <c r="CN103" s="623">
        <f>CZ119</f>
        <v>0</v>
      </c>
      <c r="CO103" s="624">
        <f>CZ120</f>
        <v>0</v>
      </c>
      <c r="CX103" s="586"/>
      <c r="CY103" s="601" t="s">
        <v>102</v>
      </c>
      <c r="CZ103" s="576">
        <v>0.17449999999999999</v>
      </c>
      <c r="DA103" s="576">
        <v>0.29809999999999998</v>
      </c>
      <c r="DB103" s="576">
        <v>0.34739999999999999</v>
      </c>
      <c r="DC103" s="576">
        <v>0.373</v>
      </c>
      <c r="DD103" s="576">
        <v>0.32150000000000001</v>
      </c>
      <c r="DE103" s="576">
        <v>1.41E-2</v>
      </c>
      <c r="DF103" s="576">
        <v>7.1800000000000003E-2</v>
      </c>
      <c r="DG103" s="576">
        <v>0.124</v>
      </c>
      <c r="DH103" s="576">
        <v>7.1800000000000003E-2</v>
      </c>
      <c r="DI103" s="576">
        <v>0.124</v>
      </c>
    </row>
    <row r="104" spans="1:129">
      <c r="A104" s="783" t="str">
        <f>Historico!A104</f>
        <v xml:space="preserve">           e) Sector 5</v>
      </c>
      <c r="B104" s="16">
        <f>+Historico!N104</f>
        <v>0.97740000000000005</v>
      </c>
      <c r="C104" s="55">
        <f t="shared" si="45"/>
        <v>0.97430000000000005</v>
      </c>
      <c r="D104" s="76">
        <f t="shared" si="46"/>
        <v>-3.1716799672600882E-3</v>
      </c>
      <c r="F104" s="55">
        <f>IF(IF(ResumenIndicadores!$F$11="Ft-1",B104,C104)=0,"",IF(ResumenIndicadores!$F$11="Ft-1",B104,C104))</f>
        <v>0.97740000000000005</v>
      </c>
      <c r="G104" s="107"/>
      <c r="H104" s="107"/>
      <c r="I104" s="107"/>
      <c r="J104" s="107"/>
      <c r="M104" s="340" t="s">
        <v>97</v>
      </c>
      <c r="N104" s="341"/>
      <c r="O104" s="278"/>
      <c r="P104" s="279"/>
      <c r="Q104" s="576">
        <v>0.75649999999999995</v>
      </c>
      <c r="R104" s="576">
        <v>0.1203</v>
      </c>
      <c r="S104" s="576">
        <v>1.3100000000000001E-2</v>
      </c>
      <c r="T104" s="576">
        <v>0.1101</v>
      </c>
      <c r="X104" s="340" t="s">
        <v>97</v>
      </c>
      <c r="Y104" s="341"/>
      <c r="Z104" s="278"/>
      <c r="AA104" s="279"/>
      <c r="AB104" s="611">
        <f t="shared" si="47"/>
        <v>1.0499749371615812</v>
      </c>
      <c r="AC104" s="611">
        <f t="shared" si="48"/>
        <v>0.81312063884710428</v>
      </c>
      <c r="AD104" s="611">
        <f t="shared" si="49"/>
        <v>0.85586590855583955</v>
      </c>
      <c r="AE104" s="611">
        <f t="shared" si="50"/>
        <v>0.64450105473456876</v>
      </c>
      <c r="AI104" s="340" t="s">
        <v>97</v>
      </c>
      <c r="AJ104" s="341"/>
      <c r="AK104" s="278"/>
      <c r="AL104" s="279"/>
      <c r="AM104" s="611">
        <f>CZ90</f>
        <v>208.463032</v>
      </c>
      <c r="AN104" s="611">
        <f>DA90*(1+AS104)</f>
        <v>2.6287489100000001</v>
      </c>
      <c r="AO104" s="611">
        <f>DB90*DA90*(1+DA121)</f>
        <v>924.80790833333344</v>
      </c>
      <c r="AP104" s="611">
        <f>DC90*DA90*(1+DA122)</f>
        <v>5223.180554884616</v>
      </c>
      <c r="AR104" s="1"/>
      <c r="AS104" s="621">
        <f t="shared" si="51"/>
        <v>1.9289999999999998E-2</v>
      </c>
      <c r="AT104" s="622">
        <f>DD99</f>
        <v>1.5299999999999999E-2</v>
      </c>
      <c r="AU104" s="623">
        <f>DD100</f>
        <v>0.44330000000000003</v>
      </c>
      <c r="AV104" s="623">
        <f>DD101</f>
        <v>1E-3</v>
      </c>
      <c r="AW104" s="623">
        <f>DD102</f>
        <v>5.1200000000000002E-2</v>
      </c>
      <c r="AX104" s="623">
        <f>DD103</f>
        <v>0.32150000000000001</v>
      </c>
      <c r="AY104" s="623">
        <f>DD104</f>
        <v>0.16769999999999999</v>
      </c>
      <c r="AZ104" s="624">
        <f>DD105</f>
        <v>0</v>
      </c>
      <c r="BA104" s="622">
        <f>DA114</f>
        <v>0</v>
      </c>
      <c r="BB104" s="623">
        <f>DA115</f>
        <v>0</v>
      </c>
      <c r="BC104" s="623">
        <f>DA116</f>
        <v>0</v>
      </c>
      <c r="BD104" s="623">
        <f>DA117</f>
        <v>0</v>
      </c>
      <c r="BE104" s="623">
        <f>DA118</f>
        <v>0.06</v>
      </c>
      <c r="BF104" s="623">
        <f>DA119</f>
        <v>0</v>
      </c>
      <c r="BG104" s="624">
        <f>DA120</f>
        <v>0</v>
      </c>
      <c r="BQ104" s="340" t="s">
        <v>97</v>
      </c>
      <c r="BR104" s="341"/>
      <c r="BS104" s="278"/>
      <c r="BT104" s="279"/>
      <c r="BU104" s="611">
        <f>CZ89</f>
        <v>198.54096000000001</v>
      </c>
      <c r="BV104" s="611">
        <f>DA89*(1+CA104)</f>
        <v>3.2329137699999997</v>
      </c>
      <c r="BW104" s="611">
        <f>DB89*DA89*(1+CZ121)</f>
        <v>1080.5523378</v>
      </c>
      <c r="BX104" s="611">
        <f>DC89*DA89*(1+CZ122)</f>
        <v>8104.2234400000007</v>
      </c>
      <c r="BZ104" s="1"/>
      <c r="CA104" s="621">
        <f t="shared" si="52"/>
        <v>2.8934999999999999E-2</v>
      </c>
      <c r="CB104" s="622">
        <f>DD99</f>
        <v>1.5299999999999999E-2</v>
      </c>
      <c r="CC104" s="623">
        <f>DD100</f>
        <v>0.44330000000000003</v>
      </c>
      <c r="CD104" s="623">
        <f>DD101</f>
        <v>1E-3</v>
      </c>
      <c r="CE104" s="623">
        <f>DD102</f>
        <v>5.1200000000000002E-2</v>
      </c>
      <c r="CF104" s="623">
        <f>DD103</f>
        <v>0.32150000000000001</v>
      </c>
      <c r="CG104" s="623">
        <f>DD104</f>
        <v>0.16769999999999999</v>
      </c>
      <c r="CH104" s="624">
        <f>DD105</f>
        <v>0</v>
      </c>
      <c r="CI104" s="622">
        <f>CZ114</f>
        <v>0</v>
      </c>
      <c r="CJ104" s="623">
        <f>CZ115</f>
        <v>0</v>
      </c>
      <c r="CK104" s="623">
        <f>CZ116</f>
        <v>0</v>
      </c>
      <c r="CL104" s="623">
        <f>CZ117</f>
        <v>0</v>
      </c>
      <c r="CM104" s="623">
        <f>CZ118</f>
        <v>0.09</v>
      </c>
      <c r="CN104" s="623">
        <f>CZ119</f>
        <v>0</v>
      </c>
      <c r="CO104" s="624">
        <f>CZ120</f>
        <v>0</v>
      </c>
      <c r="CX104" s="586"/>
      <c r="CY104" s="601" t="s">
        <v>151</v>
      </c>
      <c r="CZ104" s="576">
        <v>4.7000000000000002E-3</v>
      </c>
      <c r="DA104" s="576">
        <v>6.6500000000000004E-2</v>
      </c>
      <c r="DB104" s="576">
        <v>4.8099999999999997E-2</v>
      </c>
      <c r="DC104" s="576">
        <v>0.18609999999999999</v>
      </c>
      <c r="DD104" s="576">
        <v>0.16769999999999999</v>
      </c>
      <c r="DE104" s="576">
        <v>6.4000000000000001E-2</v>
      </c>
      <c r="DF104" s="576">
        <v>9.06E-2</v>
      </c>
      <c r="DG104" s="576">
        <v>0.1565</v>
      </c>
      <c r="DH104" s="576">
        <v>9.06E-2</v>
      </c>
      <c r="DI104" s="576">
        <v>0.1565</v>
      </c>
    </row>
    <row r="105" spans="1:129">
      <c r="A105" s="783" t="str">
        <f>Historico!A105</f>
        <v xml:space="preserve">           f) Sector Especial</v>
      </c>
      <c r="B105" s="16">
        <f>+Historico!N105</f>
        <v>0.98699999999999999</v>
      </c>
      <c r="C105" s="55">
        <f t="shared" si="45"/>
        <v>0.98460000000000003</v>
      </c>
      <c r="D105" s="76">
        <f t="shared" si="46"/>
        <v>-2.4316109422491961E-3</v>
      </c>
      <c r="F105" s="55">
        <f>IF(IF(ResumenIndicadores!$F$11="Ft-1",B105,C105)=0,"",IF(ResumenIndicadores!$F$11="Ft-1",B105,C105))</f>
        <v>0.98699999999999999</v>
      </c>
      <c r="G105" s="107"/>
      <c r="H105" s="107"/>
      <c r="I105" s="107"/>
      <c r="J105" s="107"/>
      <c r="M105" s="340" t="s">
        <v>98</v>
      </c>
      <c r="N105" s="346"/>
      <c r="O105" s="283"/>
      <c r="P105" s="301"/>
      <c r="Q105" s="576">
        <v>0.71499999999999997</v>
      </c>
      <c r="R105" s="576">
        <v>0.1812</v>
      </c>
      <c r="S105" s="576">
        <v>8.6800000000000002E-2</v>
      </c>
      <c r="T105" s="576">
        <v>1.7000000000000001E-2</v>
      </c>
      <c r="X105" s="340" t="s">
        <v>98</v>
      </c>
      <c r="Y105" s="346"/>
      <c r="Z105" s="283"/>
      <c r="AA105" s="301"/>
      <c r="AB105" s="611">
        <f t="shared" si="47"/>
        <v>1.0499749371615812</v>
      </c>
      <c r="AC105" s="611">
        <f t="shared" si="48"/>
        <v>0.82046800306146705</v>
      </c>
      <c r="AD105" s="611">
        <f t="shared" si="49"/>
        <v>0.85586590855583955</v>
      </c>
      <c r="AE105" s="611">
        <f t="shared" si="50"/>
        <v>0.64450105473456876</v>
      </c>
      <c r="AI105" s="340" t="s">
        <v>98</v>
      </c>
      <c r="AJ105" s="346"/>
      <c r="AK105" s="283"/>
      <c r="AL105" s="301"/>
      <c r="AM105" s="611">
        <f>CZ90</f>
        <v>208.463032</v>
      </c>
      <c r="AN105" s="611">
        <f>DA90*(1+AS105)</f>
        <v>2.5811818340000001</v>
      </c>
      <c r="AO105" s="611">
        <f>DB90*DA90*(1+DA121)</f>
        <v>924.80790833333344</v>
      </c>
      <c r="AP105" s="611">
        <f>DC90*DA90*(1+DA122)</f>
        <v>5223.180554884616</v>
      </c>
      <c r="AR105" s="1"/>
      <c r="AS105" s="621">
        <f t="shared" si="51"/>
        <v>8.4599999999999996E-4</v>
      </c>
      <c r="AT105" s="622">
        <f>DE99</f>
        <v>7.5700000000000003E-2</v>
      </c>
      <c r="AU105" s="623">
        <f>DE100</f>
        <v>0.80210000000000004</v>
      </c>
      <c r="AV105" s="623">
        <f>DE101</f>
        <v>1.9199999999999998E-2</v>
      </c>
      <c r="AW105" s="623">
        <f>DE102</f>
        <v>2.4899999999999999E-2</v>
      </c>
      <c r="AX105" s="623">
        <f>DE103</f>
        <v>1.41E-2</v>
      </c>
      <c r="AY105" s="623">
        <f>DE104</f>
        <v>6.4000000000000001E-2</v>
      </c>
      <c r="AZ105" s="624">
        <f>DE105</f>
        <v>0</v>
      </c>
      <c r="BA105" s="622">
        <f>DA114</f>
        <v>0</v>
      </c>
      <c r="BB105" s="623">
        <f>DA115</f>
        <v>0</v>
      </c>
      <c r="BC105" s="623">
        <f>DA116</f>
        <v>0</v>
      </c>
      <c r="BD105" s="623">
        <f>DA117</f>
        <v>0</v>
      </c>
      <c r="BE105" s="623">
        <f>DA118</f>
        <v>0.06</v>
      </c>
      <c r="BF105" s="623">
        <f>DA119</f>
        <v>0</v>
      </c>
      <c r="BG105" s="624">
        <f>DA120</f>
        <v>0</v>
      </c>
      <c r="BQ105" s="340" t="s">
        <v>98</v>
      </c>
      <c r="BR105" s="346"/>
      <c r="BS105" s="283"/>
      <c r="BT105" s="301"/>
      <c r="BU105" s="611">
        <f>CZ89</f>
        <v>198.54096000000001</v>
      </c>
      <c r="BV105" s="611">
        <f>DA89*(1+CA105)</f>
        <v>3.1459871979999998</v>
      </c>
      <c r="BW105" s="611">
        <f>DB89*DA89*(1+CZ121)</f>
        <v>1080.5523378</v>
      </c>
      <c r="BX105" s="611">
        <f>DC89*DA89*(1+CZ122)</f>
        <v>8104.2234400000007</v>
      </c>
      <c r="BZ105" s="1"/>
      <c r="CA105" s="621">
        <f t="shared" si="52"/>
        <v>1.2689999999999999E-3</v>
      </c>
      <c r="CB105" s="622">
        <f>DE99</f>
        <v>7.5700000000000003E-2</v>
      </c>
      <c r="CC105" s="623">
        <f>DE100</f>
        <v>0.80210000000000004</v>
      </c>
      <c r="CD105" s="623">
        <f>DE101</f>
        <v>1.9199999999999998E-2</v>
      </c>
      <c r="CE105" s="623">
        <f>DE102</f>
        <v>2.4899999999999999E-2</v>
      </c>
      <c r="CF105" s="623">
        <f>DE103</f>
        <v>1.41E-2</v>
      </c>
      <c r="CG105" s="623">
        <f>DE104</f>
        <v>6.4000000000000001E-2</v>
      </c>
      <c r="CH105" s="624">
        <f>DE105</f>
        <v>0</v>
      </c>
      <c r="CI105" s="622">
        <f>CZ114</f>
        <v>0</v>
      </c>
      <c r="CJ105" s="623">
        <f>CZ115</f>
        <v>0</v>
      </c>
      <c r="CK105" s="623">
        <f>CZ116</f>
        <v>0</v>
      </c>
      <c r="CL105" s="623">
        <f>CZ117</f>
        <v>0</v>
      </c>
      <c r="CM105" s="623">
        <f>CZ118</f>
        <v>0.09</v>
      </c>
      <c r="CN105" s="623">
        <f>CZ119</f>
        <v>0</v>
      </c>
      <c r="CO105" s="624">
        <f>CZ120</f>
        <v>0</v>
      </c>
      <c r="CX105" s="587"/>
      <c r="CY105" s="601" t="s">
        <v>103</v>
      </c>
      <c r="CZ105" s="577">
        <v>0</v>
      </c>
      <c r="DA105" s="577">
        <v>0</v>
      </c>
      <c r="DB105" s="577">
        <v>0</v>
      </c>
      <c r="DC105" s="577">
        <v>0</v>
      </c>
      <c r="DD105" s="577">
        <v>0</v>
      </c>
      <c r="DE105" s="577">
        <v>0</v>
      </c>
      <c r="DF105" s="577">
        <v>0.55959999999999999</v>
      </c>
      <c r="DG105" s="577">
        <v>0.2392</v>
      </c>
      <c r="DH105" s="577">
        <v>0.55959999999999999</v>
      </c>
      <c r="DI105" s="577">
        <v>0.2392</v>
      </c>
    </row>
    <row r="106" spans="1:129">
      <c r="A106" s="783" t="str">
        <f>Historico!A106</f>
        <v xml:space="preserve">           g) VAD SER 100 Estado Prepago</v>
      </c>
      <c r="B106" s="16">
        <f>+Historico!N106</f>
        <v>0.97840000000000005</v>
      </c>
      <c r="C106" s="55">
        <f t="shared" si="45"/>
        <v>0.97560000000000002</v>
      </c>
      <c r="D106" s="76">
        <f t="shared" si="46"/>
        <v>-2.8618152085037041E-3</v>
      </c>
      <c r="F106" s="55">
        <f>IF(IF(ResumenIndicadores!$F$11="Ft-1",B106,C106)=0,"",IF(ResumenIndicadores!$F$11="Ft-1",B106,C106))</f>
        <v>0.97840000000000005</v>
      </c>
      <c r="G106" s="107"/>
      <c r="H106" s="107"/>
      <c r="I106" s="107"/>
      <c r="J106" s="107"/>
      <c r="M106" s="822" t="s">
        <v>157</v>
      </c>
      <c r="N106" s="347" t="s">
        <v>158</v>
      </c>
      <c r="O106" s="278"/>
      <c r="P106" s="279"/>
      <c r="Q106" s="576">
        <v>0.70379999999999998</v>
      </c>
      <c r="R106" s="576">
        <v>0.2278</v>
      </c>
      <c r="S106" s="576">
        <v>2.81E-2</v>
      </c>
      <c r="T106" s="576">
        <v>4.0300000000000002E-2</v>
      </c>
      <c r="X106" s="822" t="s">
        <v>157</v>
      </c>
      <c r="Y106" s="347" t="s">
        <v>158</v>
      </c>
      <c r="Z106" s="278"/>
      <c r="AA106" s="279"/>
      <c r="AB106" s="611">
        <f t="shared" si="47"/>
        <v>1.0499749371615812</v>
      </c>
      <c r="AC106" s="611">
        <f t="shared" si="48"/>
        <v>0.81905808434198657</v>
      </c>
      <c r="AD106" s="611">
        <f t="shared" si="49"/>
        <v>0.85586590855583955</v>
      </c>
      <c r="AE106" s="611">
        <f t="shared" si="50"/>
        <v>0.64450105473456876</v>
      </c>
      <c r="AI106" s="822" t="s">
        <v>157</v>
      </c>
      <c r="AJ106" s="347" t="s">
        <v>158</v>
      </c>
      <c r="AK106" s="278"/>
      <c r="AL106" s="279"/>
      <c r="AM106" s="611">
        <f>CZ90</f>
        <v>208.463032</v>
      </c>
      <c r="AN106" s="611">
        <f>DA90*(1+AS106)</f>
        <v>2.5901103320000001</v>
      </c>
      <c r="AO106" s="611">
        <f>DB90*DA90*(1+DA121)</f>
        <v>924.80790833333344</v>
      </c>
      <c r="AP106" s="611">
        <f>DC90*DA90*(1+DA122)</f>
        <v>5223.180554884616</v>
      </c>
      <c r="AR106" s="1"/>
      <c r="AS106" s="621">
        <f t="shared" si="51"/>
        <v>4.3080000000000002E-3</v>
      </c>
      <c r="AT106" s="622">
        <f>DF99</f>
        <v>1.11E-2</v>
      </c>
      <c r="AU106" s="623">
        <f>DF100</f>
        <v>0.2442</v>
      </c>
      <c r="AV106" s="623">
        <f>DF101</f>
        <v>1.6000000000000001E-3</v>
      </c>
      <c r="AW106" s="623">
        <f>DF102</f>
        <v>2.1100000000000001E-2</v>
      </c>
      <c r="AX106" s="623">
        <f>DF103</f>
        <v>7.1800000000000003E-2</v>
      </c>
      <c r="AY106" s="623">
        <f>DF104</f>
        <v>9.06E-2</v>
      </c>
      <c r="AZ106" s="624">
        <f>DF105</f>
        <v>0.55959999999999999</v>
      </c>
      <c r="BA106" s="622">
        <f>DA114</f>
        <v>0</v>
      </c>
      <c r="BB106" s="623">
        <f>DA115</f>
        <v>0</v>
      </c>
      <c r="BC106" s="623">
        <f>DA116</f>
        <v>0</v>
      </c>
      <c r="BD106" s="623">
        <f>DA117</f>
        <v>0</v>
      </c>
      <c r="BE106" s="623">
        <f>DA118</f>
        <v>0.06</v>
      </c>
      <c r="BF106" s="623">
        <f>DA119</f>
        <v>0</v>
      </c>
      <c r="BG106" s="624">
        <f>DA120</f>
        <v>0</v>
      </c>
      <c r="BQ106" s="822" t="s">
        <v>157</v>
      </c>
      <c r="BR106" s="347" t="s">
        <v>158</v>
      </c>
      <c r="BS106" s="278"/>
      <c r="BT106" s="279"/>
      <c r="BU106" s="611">
        <f>CZ89</f>
        <v>198.54096000000001</v>
      </c>
      <c r="BV106" s="611">
        <f>DA89*(1+CA106)</f>
        <v>3.1623036039999999</v>
      </c>
      <c r="BW106" s="611">
        <f>DB89*DA89*(1+CZ121)</f>
        <v>1080.5523378</v>
      </c>
      <c r="BX106" s="611">
        <f>DC89*DA89*(1+CZ122)</f>
        <v>8104.2234400000007</v>
      </c>
      <c r="BZ106" s="1"/>
      <c r="CA106" s="621">
        <f t="shared" si="52"/>
        <v>6.4619999999999999E-3</v>
      </c>
      <c r="CB106" s="622">
        <f>DF99</f>
        <v>1.11E-2</v>
      </c>
      <c r="CC106" s="623">
        <f>DF100</f>
        <v>0.2442</v>
      </c>
      <c r="CD106" s="623">
        <f>DF101</f>
        <v>1.6000000000000001E-3</v>
      </c>
      <c r="CE106" s="623">
        <f>DF102</f>
        <v>2.1100000000000001E-2</v>
      </c>
      <c r="CF106" s="623">
        <f>DF103</f>
        <v>7.1800000000000003E-2</v>
      </c>
      <c r="CG106" s="623">
        <f>DF104</f>
        <v>9.06E-2</v>
      </c>
      <c r="CH106" s="624">
        <f>DF105</f>
        <v>0.55959999999999999</v>
      </c>
      <c r="CI106" s="622">
        <f>CZ114</f>
        <v>0</v>
      </c>
      <c r="CJ106" s="623">
        <f>CZ115</f>
        <v>0</v>
      </c>
      <c r="CK106" s="623">
        <f>CZ116</f>
        <v>0</v>
      </c>
      <c r="CL106" s="623">
        <f>CZ117</f>
        <v>0</v>
      </c>
      <c r="CM106" s="623">
        <f>CZ118</f>
        <v>0.09</v>
      </c>
      <c r="CN106" s="623">
        <f>CZ119</f>
        <v>0</v>
      </c>
      <c r="CO106" s="624">
        <f>CZ120</f>
        <v>0</v>
      </c>
      <c r="CX106" s="585" t="s">
        <v>147</v>
      </c>
      <c r="CY106" s="601" t="s">
        <v>99</v>
      </c>
      <c r="CZ106" s="579">
        <v>5.74E-2</v>
      </c>
      <c r="DA106" s="579">
        <v>5.8400000000000001E-2</v>
      </c>
      <c r="DB106" s="579">
        <v>3.6700000000000003E-2</v>
      </c>
      <c r="DC106" s="579">
        <v>1.6999999999999999E-3</v>
      </c>
      <c r="DD106" s="579">
        <v>4.1000000000000003E-3</v>
      </c>
      <c r="DE106" s="579">
        <v>7.0000000000000007E-2</v>
      </c>
      <c r="DF106" s="579">
        <v>1.0999999999999999E-2</v>
      </c>
      <c r="DG106" s="579">
        <v>1.0999999999999999E-2</v>
      </c>
      <c r="DH106" s="579">
        <v>1.0999999999999999E-2</v>
      </c>
      <c r="DI106" s="579">
        <v>1.0999999999999999E-2</v>
      </c>
    </row>
    <row r="107" spans="1:129">
      <c r="A107" s="783" t="str">
        <f>Historico!A107</f>
        <v xml:space="preserve">           h) VAD SER 100 Estado Convencional</v>
      </c>
      <c r="B107" s="16">
        <f>+Historico!N107</f>
        <v>0.99009999999999998</v>
      </c>
      <c r="C107" s="55">
        <f t="shared" si="45"/>
        <v>0.98729999999999996</v>
      </c>
      <c r="D107" s="76">
        <f t="shared" si="46"/>
        <v>-2.8279971720028829E-3</v>
      </c>
      <c r="F107" s="55">
        <f>IF(IF(ResumenIndicadores!$F$11="Ft-1",B107,C107)=0,"",IF(ResumenIndicadores!$F$11="Ft-1",B107,C107))</f>
        <v>0.99009999999999998</v>
      </c>
      <c r="G107" s="107"/>
      <c r="H107" s="107"/>
      <c r="I107" s="107"/>
      <c r="J107" s="107"/>
      <c r="M107" s="823"/>
      <c r="N107" s="347" t="s">
        <v>156</v>
      </c>
      <c r="O107" s="278"/>
      <c r="P107" s="279"/>
      <c r="Q107" s="576">
        <v>0.76060000000000005</v>
      </c>
      <c r="R107" s="576">
        <v>0.15770000000000001</v>
      </c>
      <c r="S107" s="576">
        <v>3.3599999999999998E-2</v>
      </c>
      <c r="T107" s="576">
        <v>4.8099999999999997E-2</v>
      </c>
      <c r="X107" s="823"/>
      <c r="Y107" s="347" t="s">
        <v>156</v>
      </c>
      <c r="Z107" s="278"/>
      <c r="AA107" s="279"/>
      <c r="AB107" s="611">
        <f t="shared" si="47"/>
        <v>1.0499749371615812</v>
      </c>
      <c r="AC107" s="611">
        <f t="shared" si="48"/>
        <v>0.81779503692326416</v>
      </c>
      <c r="AD107" s="611">
        <f t="shared" si="49"/>
        <v>0.85586590855583955</v>
      </c>
      <c r="AE107" s="611">
        <f t="shared" si="50"/>
        <v>0.64450105473456876</v>
      </c>
      <c r="AI107" s="823"/>
      <c r="AJ107" s="347" t="s">
        <v>156</v>
      </c>
      <c r="AK107" s="278"/>
      <c r="AL107" s="279"/>
      <c r="AM107" s="611">
        <f>CZ90</f>
        <v>208.463032</v>
      </c>
      <c r="AN107" s="611">
        <f>DA90*(1+AS107)</f>
        <v>2.5981877600000001</v>
      </c>
      <c r="AO107" s="611">
        <f>DB90*DA90*(1+DA121)</f>
        <v>924.80790833333344</v>
      </c>
      <c r="AP107" s="611">
        <f>DC90*DA90*(1+DA122)</f>
        <v>5223.180554884616</v>
      </c>
      <c r="AR107" s="1"/>
      <c r="AS107" s="621">
        <f t="shared" si="51"/>
        <v>7.4399999999999996E-3</v>
      </c>
      <c r="AT107" s="622">
        <f>DG99</f>
        <v>1.9199999999999998E-2</v>
      </c>
      <c r="AU107" s="623">
        <f>DG100</f>
        <v>0.4219</v>
      </c>
      <c r="AV107" s="623">
        <f>DG101</f>
        <v>2.8E-3</v>
      </c>
      <c r="AW107" s="623">
        <f>DG102</f>
        <v>3.6400000000000002E-2</v>
      </c>
      <c r="AX107" s="623">
        <f>DG103</f>
        <v>0.124</v>
      </c>
      <c r="AY107" s="623">
        <f>DG104</f>
        <v>0.1565</v>
      </c>
      <c r="AZ107" s="624">
        <f>DG105</f>
        <v>0.2392</v>
      </c>
      <c r="BA107" s="622">
        <f>DA114</f>
        <v>0</v>
      </c>
      <c r="BB107" s="623">
        <f>DA115</f>
        <v>0</v>
      </c>
      <c r="BC107" s="623">
        <f>DA116</f>
        <v>0</v>
      </c>
      <c r="BD107" s="623">
        <f>DA117</f>
        <v>0</v>
      </c>
      <c r="BE107" s="623">
        <f>DA118</f>
        <v>0.06</v>
      </c>
      <c r="BF107" s="623">
        <f>DA119</f>
        <v>0</v>
      </c>
      <c r="BG107" s="624">
        <f>DA120</f>
        <v>0</v>
      </c>
      <c r="BQ107" s="823"/>
      <c r="BR107" s="347" t="s">
        <v>156</v>
      </c>
      <c r="BS107" s="278"/>
      <c r="BT107" s="279"/>
      <c r="BU107" s="611">
        <f>CZ89</f>
        <v>198.54096000000001</v>
      </c>
      <c r="BV107" s="611">
        <f>DA89*(1+CA107)</f>
        <v>3.1770647200000002</v>
      </c>
      <c r="BW107" s="611">
        <f>DB89*DA89*(1+CZ121)</f>
        <v>1080.5523378</v>
      </c>
      <c r="BX107" s="611">
        <f>DC89*DA89*(1+CZ122)</f>
        <v>8104.2234400000007</v>
      </c>
      <c r="BZ107" s="1"/>
      <c r="CA107" s="621">
        <f t="shared" si="52"/>
        <v>1.116E-2</v>
      </c>
      <c r="CB107" s="622">
        <f>DG99</f>
        <v>1.9199999999999998E-2</v>
      </c>
      <c r="CC107" s="623">
        <f>DG100</f>
        <v>0.4219</v>
      </c>
      <c r="CD107" s="623">
        <f>DG101</f>
        <v>2.8E-3</v>
      </c>
      <c r="CE107" s="623">
        <f>DG102</f>
        <v>3.6400000000000002E-2</v>
      </c>
      <c r="CF107" s="623">
        <f>DG103</f>
        <v>0.124</v>
      </c>
      <c r="CG107" s="623">
        <f>DG104</f>
        <v>0.1565</v>
      </c>
      <c r="CH107" s="624">
        <f>DG105</f>
        <v>0.2392</v>
      </c>
      <c r="CI107" s="622">
        <f>CZ114</f>
        <v>0</v>
      </c>
      <c r="CJ107" s="623">
        <f>CZ115</f>
        <v>0</v>
      </c>
      <c r="CK107" s="623">
        <f>CZ116</f>
        <v>0</v>
      </c>
      <c r="CL107" s="623">
        <f>CZ117</f>
        <v>0</v>
      </c>
      <c r="CM107" s="623">
        <f>CZ118</f>
        <v>0.09</v>
      </c>
      <c r="CN107" s="623">
        <f>CZ119</f>
        <v>0</v>
      </c>
      <c r="CO107" s="624">
        <f>CZ120</f>
        <v>0</v>
      </c>
      <c r="CX107" s="586"/>
      <c r="CY107" s="601" t="s">
        <v>150</v>
      </c>
      <c r="CZ107" s="576">
        <v>0.76090000000000002</v>
      </c>
      <c r="DA107" s="576">
        <v>0.83320000000000005</v>
      </c>
      <c r="DB107" s="576">
        <v>0.84560000000000002</v>
      </c>
      <c r="DC107" s="576">
        <v>0.80120000000000002</v>
      </c>
      <c r="DD107" s="576">
        <v>0.86680000000000001</v>
      </c>
      <c r="DE107" s="576">
        <v>0.82750000000000001</v>
      </c>
      <c r="DF107" s="576">
        <v>0.87580000000000002</v>
      </c>
      <c r="DG107" s="576">
        <v>0.87580000000000002</v>
      </c>
      <c r="DH107" s="576">
        <v>0.87580000000000002</v>
      </c>
      <c r="DI107" s="576">
        <v>0.87580000000000002</v>
      </c>
    </row>
    <row r="108" spans="1:129">
      <c r="A108" s="783" t="str">
        <f>Historico!A108</f>
        <v xml:space="preserve">           i) VAD SER 100 Empresa Prepago</v>
      </c>
      <c r="B108" s="16">
        <f>+Historico!N108</f>
        <v>0.97840000000000005</v>
      </c>
      <c r="C108" s="55">
        <f t="shared" si="45"/>
        <v>0.97560000000000002</v>
      </c>
      <c r="D108" s="76">
        <f t="shared" si="46"/>
        <v>-2.8618152085037041E-3</v>
      </c>
      <c r="F108" s="55">
        <f>IF(IF(ResumenIndicadores!$F$11="Ft-1",B108,C108)=0,"",IF(ResumenIndicadores!$F$11="Ft-1",B108,C108))</f>
        <v>0.97840000000000005</v>
      </c>
      <c r="G108" s="107"/>
      <c r="H108" s="107"/>
      <c r="I108" s="107"/>
      <c r="J108" s="107"/>
      <c r="M108" s="822" t="s">
        <v>159</v>
      </c>
      <c r="N108" s="347" t="s">
        <v>158</v>
      </c>
      <c r="O108" s="278"/>
      <c r="P108" s="279"/>
      <c r="Q108" s="576">
        <v>0.70379999999999998</v>
      </c>
      <c r="R108" s="576">
        <v>0.2278</v>
      </c>
      <c r="S108" s="576">
        <v>2.81E-2</v>
      </c>
      <c r="T108" s="576">
        <v>4.0300000000000002E-2</v>
      </c>
      <c r="X108" s="822" t="s">
        <v>159</v>
      </c>
      <c r="Y108" s="347" t="s">
        <v>158</v>
      </c>
      <c r="Z108" s="278"/>
      <c r="AA108" s="279"/>
      <c r="AB108" s="611">
        <f t="shared" si="47"/>
        <v>1.0499749371615812</v>
      </c>
      <c r="AC108" s="611">
        <f t="shared" si="48"/>
        <v>0.81905808434198657</v>
      </c>
      <c r="AD108" s="611">
        <f t="shared" si="49"/>
        <v>0.85586590855583955</v>
      </c>
      <c r="AE108" s="611">
        <f t="shared" si="50"/>
        <v>0.64450105473456876</v>
      </c>
      <c r="AI108" s="822" t="s">
        <v>159</v>
      </c>
      <c r="AJ108" s="347" t="s">
        <v>158</v>
      </c>
      <c r="AK108" s="278"/>
      <c r="AL108" s="279"/>
      <c r="AM108" s="611">
        <f>CZ90</f>
        <v>208.463032</v>
      </c>
      <c r="AN108" s="611">
        <f>DA90*(1+AS108)</f>
        <v>2.5901103320000001</v>
      </c>
      <c r="AO108" s="611">
        <f>DB90*DA90*(1+DA121)</f>
        <v>924.80790833333344</v>
      </c>
      <c r="AP108" s="611">
        <f>DC90*DA90*(1+DA122)</f>
        <v>5223.180554884616</v>
      </c>
      <c r="AR108" s="1"/>
      <c r="AS108" s="621">
        <f t="shared" si="51"/>
        <v>4.3080000000000002E-3</v>
      </c>
      <c r="AT108" s="622">
        <f>DH99</f>
        <v>1.11E-2</v>
      </c>
      <c r="AU108" s="623">
        <f>DH100</f>
        <v>0.2442</v>
      </c>
      <c r="AV108" s="623">
        <f>DH101</f>
        <v>1.6000000000000001E-3</v>
      </c>
      <c r="AW108" s="623">
        <f>DH102</f>
        <v>2.1100000000000001E-2</v>
      </c>
      <c r="AX108" s="623">
        <f>DH103</f>
        <v>7.1800000000000003E-2</v>
      </c>
      <c r="AY108" s="623">
        <f>DH104</f>
        <v>9.06E-2</v>
      </c>
      <c r="AZ108" s="624">
        <f>DH105</f>
        <v>0.55959999999999999</v>
      </c>
      <c r="BA108" s="622">
        <f>DA114</f>
        <v>0</v>
      </c>
      <c r="BB108" s="623">
        <f>DA115</f>
        <v>0</v>
      </c>
      <c r="BC108" s="623">
        <f>DA116</f>
        <v>0</v>
      </c>
      <c r="BD108" s="623">
        <f>DA117</f>
        <v>0</v>
      </c>
      <c r="BE108" s="623">
        <f>DA118</f>
        <v>0.06</v>
      </c>
      <c r="BF108" s="623">
        <f>DA119</f>
        <v>0</v>
      </c>
      <c r="BG108" s="624">
        <f>DA120</f>
        <v>0</v>
      </c>
      <c r="BQ108" s="822" t="s">
        <v>159</v>
      </c>
      <c r="BR108" s="347" t="s">
        <v>158</v>
      </c>
      <c r="BS108" s="278"/>
      <c r="BT108" s="279"/>
      <c r="BU108" s="611">
        <f>CZ89</f>
        <v>198.54096000000001</v>
      </c>
      <c r="BV108" s="611">
        <f>DA89*(1+CA108)</f>
        <v>3.1623036039999999</v>
      </c>
      <c r="BW108" s="611">
        <f>DB89*DA89*(1+CZ121)</f>
        <v>1080.5523378</v>
      </c>
      <c r="BX108" s="611">
        <f>DC89*DA89*(1+CZ122)</f>
        <v>8104.2234400000007</v>
      </c>
      <c r="BZ108" s="1"/>
      <c r="CA108" s="621">
        <f t="shared" si="52"/>
        <v>6.4619999999999999E-3</v>
      </c>
      <c r="CB108" s="622">
        <f>DH99</f>
        <v>1.11E-2</v>
      </c>
      <c r="CC108" s="623">
        <f>DH100</f>
        <v>0.2442</v>
      </c>
      <c r="CD108" s="623">
        <f>DH101</f>
        <v>1.6000000000000001E-3</v>
      </c>
      <c r="CE108" s="623">
        <f>DH102</f>
        <v>2.1100000000000001E-2</v>
      </c>
      <c r="CF108" s="623">
        <f>DH103</f>
        <v>7.1800000000000003E-2</v>
      </c>
      <c r="CG108" s="623">
        <f>DH104</f>
        <v>9.06E-2</v>
      </c>
      <c r="CH108" s="624">
        <f>DH105</f>
        <v>0.55959999999999999</v>
      </c>
      <c r="CI108" s="622">
        <f>CZ114</f>
        <v>0</v>
      </c>
      <c r="CJ108" s="623">
        <f>CZ115</f>
        <v>0</v>
      </c>
      <c r="CK108" s="623">
        <f>CZ116</f>
        <v>0</v>
      </c>
      <c r="CL108" s="623">
        <f>CZ117</f>
        <v>0</v>
      </c>
      <c r="CM108" s="623">
        <f>CZ118</f>
        <v>0.09</v>
      </c>
      <c r="CN108" s="623">
        <f>CZ119</f>
        <v>0</v>
      </c>
      <c r="CO108" s="624">
        <f>CZ120</f>
        <v>0</v>
      </c>
      <c r="CX108" s="586"/>
      <c r="CY108" s="601" t="s">
        <v>100</v>
      </c>
      <c r="CZ108" s="576">
        <v>1.2E-2</v>
      </c>
      <c r="DA108" s="576">
        <v>1.2999999999999999E-3</v>
      </c>
      <c r="DB108" s="576">
        <v>7.0000000000000001E-3</v>
      </c>
      <c r="DC108" s="576">
        <v>8.0000000000000004E-4</v>
      </c>
      <c r="DD108" s="576">
        <v>2.9999999999999997E-4</v>
      </c>
      <c r="DE108" s="576">
        <v>1.77E-2</v>
      </c>
      <c r="DF108" s="576">
        <v>1.6000000000000001E-3</v>
      </c>
      <c r="DG108" s="576">
        <v>1.6000000000000001E-3</v>
      </c>
      <c r="DH108" s="576">
        <v>1.6000000000000001E-3</v>
      </c>
      <c r="DI108" s="576">
        <v>1.6000000000000001E-3</v>
      </c>
    </row>
    <row r="109" spans="1:129">
      <c r="A109" s="783" t="str">
        <f>Historico!A109</f>
        <v xml:space="preserve">           j) VAD SER 100 Empresa Convencional</v>
      </c>
      <c r="B109" s="16">
        <f>+Historico!N109</f>
        <v>0.99009999999999998</v>
      </c>
      <c r="C109" s="55">
        <f t="shared" si="45"/>
        <v>0.98729999999999996</v>
      </c>
      <c r="D109" s="76">
        <f t="shared" si="46"/>
        <v>-2.8279971720028829E-3</v>
      </c>
      <c r="F109" s="55">
        <f>IF(IF(ResumenIndicadores!$F$11="Ft-1",B109,C109)=0,"",IF(ResumenIndicadores!$F$11="Ft-1",B109,C109))</f>
        <v>0.99009999999999998</v>
      </c>
      <c r="G109" s="107"/>
      <c r="H109" s="107"/>
      <c r="I109" s="107"/>
      <c r="J109" s="107"/>
      <c r="M109" s="823"/>
      <c r="N109" s="347" t="s">
        <v>156</v>
      </c>
      <c r="O109" s="278"/>
      <c r="P109" s="279"/>
      <c r="Q109" s="576">
        <v>0.76060000000000005</v>
      </c>
      <c r="R109" s="576">
        <v>0.15770000000000001</v>
      </c>
      <c r="S109" s="576">
        <v>3.3599999999999998E-2</v>
      </c>
      <c r="T109" s="576">
        <v>4.8099999999999997E-2</v>
      </c>
      <c r="X109" s="823"/>
      <c r="Y109" s="347" t="s">
        <v>156</v>
      </c>
      <c r="Z109" s="278"/>
      <c r="AA109" s="279"/>
      <c r="AB109" s="611">
        <f t="shared" si="47"/>
        <v>1.0499749371615812</v>
      </c>
      <c r="AC109" s="611">
        <f t="shared" si="48"/>
        <v>0.81779503692326416</v>
      </c>
      <c r="AD109" s="611">
        <f t="shared" si="49"/>
        <v>0.85586590855583955</v>
      </c>
      <c r="AE109" s="611">
        <f t="shared" si="50"/>
        <v>0.64450105473456876</v>
      </c>
      <c r="AI109" s="823"/>
      <c r="AJ109" s="347" t="s">
        <v>156</v>
      </c>
      <c r="AK109" s="278"/>
      <c r="AL109" s="279"/>
      <c r="AM109" s="611">
        <f>CZ90</f>
        <v>208.463032</v>
      </c>
      <c r="AN109" s="611">
        <f>DA90*(1+AS109)</f>
        <v>2.5981877600000001</v>
      </c>
      <c r="AO109" s="611">
        <f>DB90*DA90*(1+DA121)</f>
        <v>924.80790833333344</v>
      </c>
      <c r="AP109" s="611">
        <f>DC90*DA90*(1+DA122)</f>
        <v>5223.180554884616</v>
      </c>
      <c r="AR109" s="1"/>
      <c r="AS109" s="621">
        <f t="shared" si="51"/>
        <v>7.4399999999999996E-3</v>
      </c>
      <c r="AT109" s="622">
        <f>DI99</f>
        <v>1.9199999999999998E-2</v>
      </c>
      <c r="AU109" s="623">
        <f>DI100</f>
        <v>0.4219</v>
      </c>
      <c r="AV109" s="623">
        <f>DI101</f>
        <v>2.8E-3</v>
      </c>
      <c r="AW109" s="623">
        <f>DI102</f>
        <v>3.6400000000000002E-2</v>
      </c>
      <c r="AX109" s="623">
        <f>DI103</f>
        <v>0.124</v>
      </c>
      <c r="AY109" s="623">
        <f>DI104</f>
        <v>0.1565</v>
      </c>
      <c r="AZ109" s="624">
        <f>DI105</f>
        <v>0.2392</v>
      </c>
      <c r="BA109" s="622">
        <f>DA114</f>
        <v>0</v>
      </c>
      <c r="BB109" s="623">
        <f>DA115</f>
        <v>0</v>
      </c>
      <c r="BC109" s="623">
        <f>DA116</f>
        <v>0</v>
      </c>
      <c r="BD109" s="623">
        <f>DA117</f>
        <v>0</v>
      </c>
      <c r="BE109" s="623">
        <f>DA118</f>
        <v>0.06</v>
      </c>
      <c r="BF109" s="623">
        <f>DA119</f>
        <v>0</v>
      </c>
      <c r="BG109" s="624">
        <f>DA120</f>
        <v>0</v>
      </c>
      <c r="BQ109" s="823"/>
      <c r="BR109" s="347" t="s">
        <v>156</v>
      </c>
      <c r="BS109" s="278"/>
      <c r="BT109" s="279"/>
      <c r="BU109" s="611">
        <f>CZ89</f>
        <v>198.54096000000001</v>
      </c>
      <c r="BV109" s="611">
        <f>DA89*(1+CA109)</f>
        <v>3.1770647200000002</v>
      </c>
      <c r="BW109" s="611">
        <f>DB89*DA89*(1+CZ121)</f>
        <v>1080.5523378</v>
      </c>
      <c r="BX109" s="611">
        <f>DC89*DA89*(1+CZ122)</f>
        <v>8104.2234400000007</v>
      </c>
      <c r="BZ109" s="1"/>
      <c r="CA109" s="621">
        <f t="shared" si="52"/>
        <v>1.116E-2</v>
      </c>
      <c r="CB109" s="622">
        <f>DI99</f>
        <v>1.9199999999999998E-2</v>
      </c>
      <c r="CC109" s="623">
        <f>DI100</f>
        <v>0.4219</v>
      </c>
      <c r="CD109" s="623">
        <f>DI101</f>
        <v>2.8E-3</v>
      </c>
      <c r="CE109" s="623">
        <f>DI102</f>
        <v>3.6400000000000002E-2</v>
      </c>
      <c r="CF109" s="623">
        <f>DI103</f>
        <v>0.124</v>
      </c>
      <c r="CG109" s="623">
        <f>DI104</f>
        <v>0.1565</v>
      </c>
      <c r="CH109" s="624">
        <f>DI105</f>
        <v>0.2392</v>
      </c>
      <c r="CI109" s="622">
        <f>CZ114</f>
        <v>0</v>
      </c>
      <c r="CJ109" s="623">
        <f>CZ115</f>
        <v>0</v>
      </c>
      <c r="CK109" s="623">
        <f>CZ116</f>
        <v>0</v>
      </c>
      <c r="CL109" s="623">
        <f>CZ117</f>
        <v>0</v>
      </c>
      <c r="CM109" s="623">
        <f>CZ118</f>
        <v>0.09</v>
      </c>
      <c r="CN109" s="623">
        <f>CZ119</f>
        <v>0</v>
      </c>
      <c r="CO109" s="624">
        <f>CZ120</f>
        <v>0</v>
      </c>
      <c r="CX109" s="586"/>
      <c r="CY109" s="601" t="s">
        <v>101</v>
      </c>
      <c r="CZ109" s="576">
        <v>0.16750000000000001</v>
      </c>
      <c r="DA109" s="576">
        <v>8.3199999999999996E-2</v>
      </c>
      <c r="DB109" s="576">
        <v>9.3899999999999997E-2</v>
      </c>
      <c r="DC109" s="576">
        <v>0.15909999999999999</v>
      </c>
      <c r="DD109" s="576">
        <v>0.1002</v>
      </c>
      <c r="DE109" s="576">
        <v>2.5600000000000001E-2</v>
      </c>
      <c r="DF109" s="576">
        <v>7.5499999999999998E-2</v>
      </c>
      <c r="DG109" s="576">
        <v>7.5499999999999998E-2</v>
      </c>
      <c r="DH109" s="576">
        <v>7.5499999999999998E-2</v>
      </c>
      <c r="DI109" s="576">
        <v>7.5499999999999998E-2</v>
      </c>
    </row>
    <row r="110" spans="1:129">
      <c r="A110" s="775" t="str">
        <f>Historico!A110</f>
        <v>3. VALOR AGREGADO DE DISTRIBUCIÓN EN SUBESTACIONES MT/BT (FASED)</v>
      </c>
      <c r="B110" s="15" t="str">
        <f>+Historico!N110</f>
        <v/>
      </c>
      <c r="C110" s="55"/>
      <c r="D110" s="76"/>
      <c r="F110" s="55" t="str">
        <f>IF(IF(ResumenIndicadores!$F$11="Ft-1",B110,C110)=0,"",IF(ResumenIndicadores!$F$11="Ft-1",B110,C110))</f>
        <v/>
      </c>
      <c r="G110" s="107"/>
      <c r="H110" s="107"/>
      <c r="I110" s="107"/>
      <c r="J110" s="107"/>
      <c r="M110" s="562" t="s">
        <v>475</v>
      </c>
      <c r="N110" s="341"/>
      <c r="O110" s="278"/>
      <c r="Q110" s="334" t="s">
        <v>146</v>
      </c>
      <c r="R110" s="334" t="s">
        <v>147</v>
      </c>
      <c r="S110" s="334" t="s">
        <v>148</v>
      </c>
      <c r="T110" s="334" t="s">
        <v>164</v>
      </c>
      <c r="X110" s="562" t="s">
        <v>475</v>
      </c>
      <c r="Y110" s="341"/>
      <c r="Z110" s="278"/>
      <c r="AB110" s="349" t="s">
        <v>146</v>
      </c>
      <c r="AC110" s="349" t="s">
        <v>147</v>
      </c>
      <c r="AD110" s="335" t="s">
        <v>148</v>
      </c>
      <c r="AE110" s="349" t="s">
        <v>164</v>
      </c>
      <c r="AI110" s="562" t="s">
        <v>475</v>
      </c>
      <c r="AJ110" s="341"/>
      <c r="AK110" s="278"/>
      <c r="AM110" s="349" t="s">
        <v>146</v>
      </c>
      <c r="AN110" s="349" t="s">
        <v>147</v>
      </c>
      <c r="AO110" s="349" t="s">
        <v>148</v>
      </c>
      <c r="AP110" s="349" t="s">
        <v>164</v>
      </c>
      <c r="AR110" s="1"/>
      <c r="AS110" s="335" t="s">
        <v>155</v>
      </c>
      <c r="AT110" s="336"/>
      <c r="AU110" s="337"/>
      <c r="AV110" s="337"/>
      <c r="AW110" s="337"/>
      <c r="AX110" s="337"/>
      <c r="AY110" s="337"/>
      <c r="AZ110" s="338"/>
      <c r="BA110" s="336"/>
      <c r="BB110" s="337"/>
      <c r="BC110" s="337"/>
      <c r="BD110" s="337"/>
      <c r="BE110" s="337"/>
      <c r="BF110" s="337"/>
      <c r="BG110" s="338"/>
      <c r="BQ110" s="562" t="s">
        <v>475</v>
      </c>
      <c r="BR110" s="341"/>
      <c r="BS110" s="278"/>
      <c r="BU110" s="349" t="s">
        <v>146</v>
      </c>
      <c r="BV110" s="349" t="s">
        <v>147</v>
      </c>
      <c r="BW110" s="349" t="s">
        <v>148</v>
      </c>
      <c r="BX110" s="349" t="s">
        <v>164</v>
      </c>
      <c r="BZ110" s="1"/>
      <c r="CA110" s="335" t="s">
        <v>155</v>
      </c>
      <c r="CB110" s="336"/>
      <c r="CC110" s="337"/>
      <c r="CD110" s="337"/>
      <c r="CE110" s="337"/>
      <c r="CF110" s="337"/>
      <c r="CG110" s="337"/>
      <c r="CH110" s="338"/>
      <c r="CI110" s="336"/>
      <c r="CJ110" s="337"/>
      <c r="CK110" s="337"/>
      <c r="CL110" s="337"/>
      <c r="CM110" s="337"/>
      <c r="CN110" s="337"/>
      <c r="CO110" s="338"/>
      <c r="CX110" s="586"/>
      <c r="CY110" s="601" t="s">
        <v>102</v>
      </c>
      <c r="CZ110" s="576">
        <v>0</v>
      </c>
      <c r="DA110" s="576">
        <v>0</v>
      </c>
      <c r="DB110" s="576">
        <v>0</v>
      </c>
      <c r="DC110" s="576">
        <v>0</v>
      </c>
      <c r="DD110" s="576">
        <v>0</v>
      </c>
      <c r="DE110" s="576">
        <v>0</v>
      </c>
      <c r="DF110" s="576">
        <v>0</v>
      </c>
      <c r="DG110" s="576">
        <v>0</v>
      </c>
      <c r="DH110" s="576">
        <v>0</v>
      </c>
      <c r="DI110" s="576">
        <v>0</v>
      </c>
      <c r="DY110" s="266"/>
    </row>
    <row r="111" spans="1:129">
      <c r="A111" s="783" t="str">
        <f>Historico!A111</f>
        <v xml:space="preserve">           a) Sector 1</v>
      </c>
      <c r="B111" s="16">
        <f>+Historico!N111</f>
        <v>0.99750000000000005</v>
      </c>
      <c r="C111" s="55">
        <f t="shared" ref="C111:C120" si="53">ROUND(Q111*AB111+R111*AC111+S111*AD111+T111*AE111,4)</f>
        <v>0.99509999999999998</v>
      </c>
      <c r="D111" s="76">
        <f t="shared" ref="D111:D126" si="54">+C111/B111-1</f>
        <v>-2.4060150375940781E-3</v>
      </c>
      <c r="F111" s="55">
        <f>IF(IF(ResumenIndicadores!$F$11="Ft-1",B111,C111)=0,"",IF(ResumenIndicadores!$F$11="Ft-1",B111,C111))</f>
        <v>0.99750000000000005</v>
      </c>
      <c r="G111" s="107"/>
      <c r="H111" s="107"/>
      <c r="I111" s="107"/>
      <c r="J111" s="107"/>
      <c r="M111" s="340" t="s">
        <v>93</v>
      </c>
      <c r="N111" s="341"/>
      <c r="O111" s="278"/>
      <c r="P111" s="279"/>
      <c r="Q111" s="579">
        <v>0.74960000000000004</v>
      </c>
      <c r="R111" s="579">
        <v>0.17760000000000001</v>
      </c>
      <c r="S111" s="579">
        <v>7.2800000000000004E-2</v>
      </c>
      <c r="T111" s="579">
        <v>0</v>
      </c>
      <c r="X111" s="340" t="s">
        <v>93</v>
      </c>
      <c r="Y111" s="341"/>
      <c r="Z111" s="278"/>
      <c r="AA111" s="279"/>
      <c r="AB111" s="613">
        <f t="shared" ref="AB111:AB120" si="55">AM111/BU111</f>
        <v>1.0499749371615812</v>
      </c>
      <c r="AC111" s="613">
        <f t="shared" ref="AC111:AC120" si="56">AN111/BV111</f>
        <v>0.82081476766390837</v>
      </c>
      <c r="AD111" s="613">
        <f t="shared" ref="AD111:AD120" si="57">AO111/BW111</f>
        <v>0.85586590855583955</v>
      </c>
      <c r="AE111" s="613">
        <v>0</v>
      </c>
      <c r="AI111" s="340" t="s">
        <v>93</v>
      </c>
      <c r="AJ111" s="341"/>
      <c r="AK111" s="278"/>
      <c r="AL111" s="279"/>
      <c r="AM111" s="613">
        <f>CZ90</f>
        <v>208.463032</v>
      </c>
      <c r="AN111" s="613">
        <f>DA90*(1+AS111)</f>
        <v>2.5790000000000002</v>
      </c>
      <c r="AO111" s="613">
        <f>DB90*DA90*(1+DA121)</f>
        <v>924.80790833333344</v>
      </c>
      <c r="AP111" s="613">
        <v>0</v>
      </c>
      <c r="AR111" s="1"/>
      <c r="AS111" s="625">
        <f t="shared" ref="AS111:AS120" si="58">AT111*BA111+AU111*BB111+AV111*BC111+AW111*BD111+AX111*BE111+AY111*BF111+AZ111*BG111</f>
        <v>0</v>
      </c>
      <c r="AT111" s="626">
        <f>CZ106</f>
        <v>5.74E-2</v>
      </c>
      <c r="AU111" s="627">
        <f>CZ107</f>
        <v>0.76090000000000002</v>
      </c>
      <c r="AV111" s="627">
        <f>CZ108</f>
        <v>1.2E-2</v>
      </c>
      <c r="AW111" s="627">
        <f>CZ109</f>
        <v>0.16750000000000001</v>
      </c>
      <c r="AX111" s="627">
        <f>CZ110</f>
        <v>0</v>
      </c>
      <c r="AY111" s="627">
        <f>CZ111</f>
        <v>2.2000000000000001E-3</v>
      </c>
      <c r="AZ111" s="628">
        <f>CZ112</f>
        <v>0</v>
      </c>
      <c r="BA111" s="626">
        <f>DA114</f>
        <v>0</v>
      </c>
      <c r="BB111" s="627">
        <f>DA115</f>
        <v>0</v>
      </c>
      <c r="BC111" s="627">
        <f>DA116</f>
        <v>0</v>
      </c>
      <c r="BD111" s="627">
        <f>DA117</f>
        <v>0</v>
      </c>
      <c r="BE111" s="627">
        <f>DA118</f>
        <v>0.06</v>
      </c>
      <c r="BF111" s="627">
        <f>DA119</f>
        <v>0</v>
      </c>
      <c r="BG111" s="628">
        <f>DA120</f>
        <v>0</v>
      </c>
      <c r="BQ111" s="340" t="s">
        <v>93</v>
      </c>
      <c r="BR111" s="341"/>
      <c r="BS111" s="278"/>
      <c r="BT111" s="279"/>
      <c r="BU111" s="613">
        <f>CZ89</f>
        <v>198.54096000000001</v>
      </c>
      <c r="BV111" s="613">
        <f>DA89*(1+CA111)</f>
        <v>3.1419999999999999</v>
      </c>
      <c r="BW111" s="613">
        <f>DB89*DA89*(1+CZ121)</f>
        <v>1080.5523378</v>
      </c>
      <c r="BX111" s="613">
        <v>0</v>
      </c>
      <c r="BZ111" s="1"/>
      <c r="CA111" s="625">
        <f t="shared" ref="CA111:CA120" si="59">CB111*CI111+CC111*CJ111+CD111*CK111+CE111*CL111+CF111*CM111+CG111*CN111+CH111*CO111</f>
        <v>0</v>
      </c>
      <c r="CB111" s="626">
        <f>CZ106</f>
        <v>5.74E-2</v>
      </c>
      <c r="CC111" s="627">
        <f>CZ107</f>
        <v>0.76090000000000002</v>
      </c>
      <c r="CD111" s="627">
        <f>CZ108</f>
        <v>1.2E-2</v>
      </c>
      <c r="CE111" s="627">
        <f>CZ109</f>
        <v>0.16750000000000001</v>
      </c>
      <c r="CF111" s="627">
        <f>CZ110</f>
        <v>0</v>
      </c>
      <c r="CG111" s="627">
        <f>CZ111</f>
        <v>2.2000000000000001E-3</v>
      </c>
      <c r="CH111" s="628">
        <f>CZ112</f>
        <v>0</v>
      </c>
      <c r="CI111" s="626">
        <f>CZ114</f>
        <v>0</v>
      </c>
      <c r="CJ111" s="627">
        <f>CZ115</f>
        <v>0</v>
      </c>
      <c r="CK111" s="627">
        <f>CZ116</f>
        <v>0</v>
      </c>
      <c r="CL111" s="627">
        <f>CZ117</f>
        <v>0</v>
      </c>
      <c r="CM111" s="627">
        <f>CZ118</f>
        <v>0.09</v>
      </c>
      <c r="CN111" s="627">
        <f>CZ119</f>
        <v>0</v>
      </c>
      <c r="CO111" s="628">
        <f>CZ120</f>
        <v>0</v>
      </c>
      <c r="CX111" s="586"/>
      <c r="CY111" s="601" t="s">
        <v>151</v>
      </c>
      <c r="CZ111" s="576">
        <v>2.2000000000000001E-3</v>
      </c>
      <c r="DA111" s="576">
        <v>2.3900000000000001E-2</v>
      </c>
      <c r="DB111" s="576">
        <v>1.6799999999999999E-2</v>
      </c>
      <c r="DC111" s="576">
        <v>3.7199999999999997E-2</v>
      </c>
      <c r="DD111" s="576">
        <v>2.86E-2</v>
      </c>
      <c r="DE111" s="576">
        <v>5.9200000000000003E-2</v>
      </c>
      <c r="DF111" s="576">
        <v>3.61E-2</v>
      </c>
      <c r="DG111" s="576">
        <v>3.61E-2</v>
      </c>
      <c r="DH111" s="576">
        <v>3.61E-2</v>
      </c>
      <c r="DI111" s="576">
        <v>3.61E-2</v>
      </c>
    </row>
    <row r="112" spans="1:129">
      <c r="A112" s="783" t="str">
        <f>Historico!A112</f>
        <v xml:space="preserve">           b) Sector 2</v>
      </c>
      <c r="B112" s="16">
        <f>+Historico!N112</f>
        <v>0.97929999999999995</v>
      </c>
      <c r="C112" s="55">
        <f t="shared" si="53"/>
        <v>0.97689999999999999</v>
      </c>
      <c r="D112" s="76">
        <f t="shared" si="54"/>
        <v>-2.4507301133461779E-3</v>
      </c>
      <c r="F112" s="55">
        <f>IF(IF(ResumenIndicadores!$F$11="Ft-1",B112,C112)=0,"",IF(ResumenIndicadores!$F$11="Ft-1",B112,C112))</f>
        <v>0.97929999999999995</v>
      </c>
      <c r="G112" s="107"/>
      <c r="H112" s="107"/>
      <c r="I112" s="107"/>
      <c r="J112" s="107"/>
      <c r="M112" s="340" t="s">
        <v>94</v>
      </c>
      <c r="N112" s="341"/>
      <c r="O112" s="278"/>
      <c r="P112" s="279"/>
      <c r="Q112" s="576">
        <v>0.66610000000000003</v>
      </c>
      <c r="R112" s="576">
        <v>0.2346</v>
      </c>
      <c r="S112" s="576">
        <v>9.9299999999999999E-2</v>
      </c>
      <c r="T112" s="576">
        <v>0</v>
      </c>
      <c r="X112" s="340" t="s">
        <v>94</v>
      </c>
      <c r="Y112" s="341"/>
      <c r="Z112" s="278"/>
      <c r="AA112" s="279"/>
      <c r="AB112" s="611">
        <f t="shared" si="55"/>
        <v>1.0499749371615812</v>
      </c>
      <c r="AC112" s="611">
        <f t="shared" si="56"/>
        <v>0.82081476766390837</v>
      </c>
      <c r="AD112" s="611">
        <f t="shared" si="57"/>
        <v>0.85586590855583955</v>
      </c>
      <c r="AE112" s="611">
        <v>0</v>
      </c>
      <c r="AI112" s="340" t="s">
        <v>94</v>
      </c>
      <c r="AJ112" s="341"/>
      <c r="AK112" s="278"/>
      <c r="AL112" s="279"/>
      <c r="AM112" s="611">
        <f>CZ90</f>
        <v>208.463032</v>
      </c>
      <c r="AN112" s="611">
        <f>DA90*(1+AS112)</f>
        <v>2.5790000000000002</v>
      </c>
      <c r="AO112" s="611">
        <f>DB90*DA90*(1+DA121)</f>
        <v>924.80790833333344</v>
      </c>
      <c r="AP112" s="611">
        <v>0</v>
      </c>
      <c r="AR112" s="1"/>
      <c r="AS112" s="621">
        <f t="shared" si="58"/>
        <v>0</v>
      </c>
      <c r="AT112" s="622">
        <f>DA106</f>
        <v>5.8400000000000001E-2</v>
      </c>
      <c r="AU112" s="623">
        <f>DA107</f>
        <v>0.83320000000000005</v>
      </c>
      <c r="AV112" s="623">
        <f>DA108</f>
        <v>1.2999999999999999E-3</v>
      </c>
      <c r="AW112" s="623">
        <f>DA109</f>
        <v>8.3199999999999996E-2</v>
      </c>
      <c r="AX112" s="623">
        <f>DA110</f>
        <v>0</v>
      </c>
      <c r="AY112" s="623">
        <f>DA111</f>
        <v>2.3900000000000001E-2</v>
      </c>
      <c r="AZ112" s="624">
        <f>DA112</f>
        <v>0</v>
      </c>
      <c r="BA112" s="622">
        <f>DA114</f>
        <v>0</v>
      </c>
      <c r="BB112" s="623">
        <f>DA115</f>
        <v>0</v>
      </c>
      <c r="BC112" s="623">
        <f>DA116</f>
        <v>0</v>
      </c>
      <c r="BD112" s="623">
        <f>DA117</f>
        <v>0</v>
      </c>
      <c r="BE112" s="623">
        <f>DA118</f>
        <v>0.06</v>
      </c>
      <c r="BF112" s="623">
        <f>DA119</f>
        <v>0</v>
      </c>
      <c r="BG112" s="624">
        <f>DA120</f>
        <v>0</v>
      </c>
      <c r="BQ112" s="340" t="s">
        <v>94</v>
      </c>
      <c r="BR112" s="341"/>
      <c r="BS112" s="278"/>
      <c r="BT112" s="279"/>
      <c r="BU112" s="611">
        <f>CZ89</f>
        <v>198.54096000000001</v>
      </c>
      <c r="BV112" s="611">
        <f>DA89*(1+CA112)</f>
        <v>3.1419999999999999</v>
      </c>
      <c r="BW112" s="611">
        <f>DB89*DA89*(1+CZ121)</f>
        <v>1080.5523378</v>
      </c>
      <c r="BX112" s="611">
        <v>0</v>
      </c>
      <c r="BZ112" s="1"/>
      <c r="CA112" s="621">
        <f t="shared" si="59"/>
        <v>0</v>
      </c>
      <c r="CB112" s="622">
        <f>DA106</f>
        <v>5.8400000000000001E-2</v>
      </c>
      <c r="CC112" s="623">
        <f>DA107</f>
        <v>0.83320000000000005</v>
      </c>
      <c r="CD112" s="623">
        <f>DA108</f>
        <v>1.2999999999999999E-3</v>
      </c>
      <c r="CE112" s="623">
        <f>DA109</f>
        <v>8.3199999999999996E-2</v>
      </c>
      <c r="CF112" s="623">
        <f>DA110</f>
        <v>0</v>
      </c>
      <c r="CG112" s="623">
        <f>DA111</f>
        <v>2.3900000000000001E-2</v>
      </c>
      <c r="CH112" s="624">
        <f>DA112</f>
        <v>0</v>
      </c>
      <c r="CI112" s="622">
        <f>CZ114</f>
        <v>0</v>
      </c>
      <c r="CJ112" s="623">
        <f>CZ115</f>
        <v>0</v>
      </c>
      <c r="CK112" s="623">
        <f>CZ116</f>
        <v>0</v>
      </c>
      <c r="CL112" s="623">
        <f>CZ117</f>
        <v>0</v>
      </c>
      <c r="CM112" s="623">
        <f>CZ118</f>
        <v>0.09</v>
      </c>
      <c r="CN112" s="623">
        <f>CZ119</f>
        <v>0</v>
      </c>
      <c r="CO112" s="624">
        <f>CZ120</f>
        <v>0</v>
      </c>
      <c r="CX112" s="587"/>
      <c r="CY112" s="601" t="s">
        <v>103</v>
      </c>
      <c r="CZ112" s="577">
        <v>0</v>
      </c>
      <c r="DA112" s="577">
        <v>0</v>
      </c>
      <c r="DB112" s="577">
        <v>0</v>
      </c>
      <c r="DC112" s="577">
        <v>0</v>
      </c>
      <c r="DD112" s="577">
        <v>0</v>
      </c>
      <c r="DE112" s="577">
        <v>0</v>
      </c>
      <c r="DF112" s="577">
        <v>0</v>
      </c>
      <c r="DG112" s="577">
        <v>0</v>
      </c>
      <c r="DH112" s="577">
        <v>0</v>
      </c>
      <c r="DI112" s="577">
        <v>0</v>
      </c>
    </row>
    <row r="113" spans="1:129">
      <c r="A113" s="783" t="str">
        <f>Historico!A113</f>
        <v xml:space="preserve">           c) Sector 3</v>
      </c>
      <c r="B113" s="16">
        <f>+Historico!N113</f>
        <v>0.9829</v>
      </c>
      <c r="C113" s="55">
        <f t="shared" si="53"/>
        <v>0.98060000000000003</v>
      </c>
      <c r="D113" s="76">
        <f t="shared" si="54"/>
        <v>-2.3400142435648918E-3</v>
      </c>
      <c r="F113" s="55">
        <f>IF(IF(ResumenIndicadores!$F$11="Ft-1",B113,C113)=0,"",IF(ResumenIndicadores!$F$11="Ft-1",B113,C113))</f>
        <v>0.9829</v>
      </c>
      <c r="G113" s="107"/>
      <c r="H113" s="107"/>
      <c r="I113" s="107"/>
      <c r="J113" s="107"/>
      <c r="M113" s="340" t="s">
        <v>95</v>
      </c>
      <c r="N113" s="341"/>
      <c r="O113" s="278"/>
      <c r="P113" s="279"/>
      <c r="Q113" s="576">
        <v>0.68200000000000005</v>
      </c>
      <c r="R113" s="576">
        <v>0.21790000000000001</v>
      </c>
      <c r="S113" s="576">
        <v>0.10009999999999999</v>
      </c>
      <c r="T113" s="576">
        <v>0</v>
      </c>
      <c r="X113" s="340" t="s">
        <v>95</v>
      </c>
      <c r="Y113" s="341"/>
      <c r="Z113" s="278"/>
      <c r="AA113" s="279"/>
      <c r="AB113" s="611">
        <f t="shared" si="55"/>
        <v>1.0499749371615812</v>
      </c>
      <c r="AC113" s="611">
        <f t="shared" si="56"/>
        <v>0.82081476766390837</v>
      </c>
      <c r="AD113" s="611">
        <f t="shared" si="57"/>
        <v>0.85586590855583955</v>
      </c>
      <c r="AE113" s="611">
        <v>0</v>
      </c>
      <c r="AI113" s="340" t="s">
        <v>95</v>
      </c>
      <c r="AJ113" s="341"/>
      <c r="AK113" s="278"/>
      <c r="AL113" s="279"/>
      <c r="AM113" s="611">
        <f>CZ90</f>
        <v>208.463032</v>
      </c>
      <c r="AN113" s="611">
        <f>DA90*(1+AS113)</f>
        <v>2.5790000000000002</v>
      </c>
      <c r="AO113" s="611">
        <f>DB90*DA90*(1+DA121)</f>
        <v>924.80790833333344</v>
      </c>
      <c r="AP113" s="611">
        <v>0</v>
      </c>
      <c r="AR113" s="1"/>
      <c r="AS113" s="621">
        <f t="shared" si="58"/>
        <v>0</v>
      </c>
      <c r="AT113" s="622">
        <f>DB106</f>
        <v>3.6700000000000003E-2</v>
      </c>
      <c r="AU113" s="623">
        <f>DB107</f>
        <v>0.84560000000000002</v>
      </c>
      <c r="AV113" s="623">
        <f>DB108</f>
        <v>7.0000000000000001E-3</v>
      </c>
      <c r="AW113" s="623">
        <f>DB109</f>
        <v>9.3899999999999997E-2</v>
      </c>
      <c r="AX113" s="623">
        <f>DB110</f>
        <v>0</v>
      </c>
      <c r="AY113" s="623">
        <f>DB111</f>
        <v>1.6799999999999999E-2</v>
      </c>
      <c r="AZ113" s="624">
        <f>DB112</f>
        <v>0</v>
      </c>
      <c r="BA113" s="622">
        <f>DA114</f>
        <v>0</v>
      </c>
      <c r="BB113" s="623">
        <f>DA115</f>
        <v>0</v>
      </c>
      <c r="BC113" s="623">
        <f>DA116</f>
        <v>0</v>
      </c>
      <c r="BD113" s="623">
        <f>DA117</f>
        <v>0</v>
      </c>
      <c r="BE113" s="623">
        <f>DA118</f>
        <v>0.06</v>
      </c>
      <c r="BF113" s="623">
        <f>DA119</f>
        <v>0</v>
      </c>
      <c r="BG113" s="624">
        <f>DA120</f>
        <v>0</v>
      </c>
      <c r="BQ113" s="340" t="s">
        <v>95</v>
      </c>
      <c r="BR113" s="341"/>
      <c r="BS113" s="278"/>
      <c r="BT113" s="279"/>
      <c r="BU113" s="611">
        <f>CZ89</f>
        <v>198.54096000000001</v>
      </c>
      <c r="BV113" s="611">
        <f>DA89*(1+CA113)</f>
        <v>3.1419999999999999</v>
      </c>
      <c r="BW113" s="611">
        <f>DB89*DA89*(1+CZ121)</f>
        <v>1080.5523378</v>
      </c>
      <c r="BX113" s="611">
        <v>0</v>
      </c>
      <c r="BZ113" s="1"/>
      <c r="CA113" s="621">
        <f t="shared" si="59"/>
        <v>0</v>
      </c>
      <c r="CB113" s="622">
        <f>DB106</f>
        <v>3.6700000000000003E-2</v>
      </c>
      <c r="CC113" s="623">
        <f>DB107</f>
        <v>0.84560000000000002</v>
      </c>
      <c r="CD113" s="623">
        <f>DB108</f>
        <v>7.0000000000000001E-3</v>
      </c>
      <c r="CE113" s="623">
        <f>DB109</f>
        <v>9.3899999999999997E-2</v>
      </c>
      <c r="CF113" s="623">
        <f>DB110</f>
        <v>0</v>
      </c>
      <c r="CG113" s="623">
        <f>DB111</f>
        <v>1.6799999999999999E-2</v>
      </c>
      <c r="CH113" s="624">
        <f>DB112</f>
        <v>0</v>
      </c>
      <c r="CI113" s="622">
        <f>CZ114</f>
        <v>0</v>
      </c>
      <c r="CJ113" s="623">
        <f>CZ115</f>
        <v>0</v>
      </c>
      <c r="CK113" s="623">
        <f>CZ116</f>
        <v>0</v>
      </c>
      <c r="CL113" s="623">
        <f>CZ117</f>
        <v>0</v>
      </c>
      <c r="CM113" s="623">
        <f>CZ118</f>
        <v>0.09</v>
      </c>
      <c r="CN113" s="623">
        <f>CZ119</f>
        <v>0</v>
      </c>
      <c r="CO113" s="624">
        <f>CZ120</f>
        <v>0</v>
      </c>
      <c r="CX113" s="588"/>
      <c r="CY113" s="344" t="s">
        <v>149</v>
      </c>
      <c r="CZ113" s="344" t="s">
        <v>292</v>
      </c>
      <c r="DA113" s="344" t="s">
        <v>575</v>
      </c>
      <c r="DB113" s="344" t="s">
        <v>104</v>
      </c>
    </row>
    <row r="114" spans="1:129">
      <c r="A114" s="783" t="str">
        <f>Historico!A114</f>
        <v xml:space="preserve">           d) Sector 4</v>
      </c>
      <c r="B114" s="16">
        <f>+Historico!N114</f>
        <v>0.97009999999999996</v>
      </c>
      <c r="C114" s="55">
        <f t="shared" si="53"/>
        <v>0.96709999999999996</v>
      </c>
      <c r="D114" s="76">
        <f t="shared" si="54"/>
        <v>-3.0924646943614187E-3</v>
      </c>
      <c r="F114" s="55">
        <f>IF(IF(ResumenIndicadores!$F$11="Ft-1",B114,C114)=0,"",IF(ResumenIndicadores!$F$11="Ft-1",B114,C114))</f>
        <v>0.97009999999999996</v>
      </c>
      <c r="G114" s="107"/>
      <c r="H114" s="107"/>
      <c r="I114" s="107"/>
      <c r="J114" s="107"/>
      <c r="M114" s="340" t="s">
        <v>96</v>
      </c>
      <c r="N114" s="341"/>
      <c r="O114" s="278"/>
      <c r="P114" s="279"/>
      <c r="Q114" s="576">
        <v>0.63739999999999997</v>
      </c>
      <c r="R114" s="576">
        <v>0.35560000000000003</v>
      </c>
      <c r="S114" s="576">
        <v>7.0000000000000001E-3</v>
      </c>
      <c r="T114" s="576">
        <v>0</v>
      </c>
      <c r="X114" s="340" t="s">
        <v>96</v>
      </c>
      <c r="Y114" s="341"/>
      <c r="Z114" s="278"/>
      <c r="AA114" s="279"/>
      <c r="AB114" s="611">
        <f t="shared" si="55"/>
        <v>1.0499749371615812</v>
      </c>
      <c r="AC114" s="611">
        <f t="shared" si="56"/>
        <v>0.82081476766390837</v>
      </c>
      <c r="AD114" s="611">
        <f t="shared" si="57"/>
        <v>0.85586590855583955</v>
      </c>
      <c r="AE114" s="611">
        <v>0</v>
      </c>
      <c r="AI114" s="340" t="s">
        <v>96</v>
      </c>
      <c r="AJ114" s="341"/>
      <c r="AK114" s="278"/>
      <c r="AL114" s="279"/>
      <c r="AM114" s="611">
        <f>CZ90</f>
        <v>208.463032</v>
      </c>
      <c r="AN114" s="611">
        <f>DA90*(1+AS114)</f>
        <v>2.5790000000000002</v>
      </c>
      <c r="AO114" s="611">
        <f>DB90*DA90*(1+DA121)</f>
        <v>924.80790833333344</v>
      </c>
      <c r="AP114" s="611">
        <v>0</v>
      </c>
      <c r="AR114" s="1"/>
      <c r="AS114" s="621">
        <f t="shared" si="58"/>
        <v>0</v>
      </c>
      <c r="AT114" s="622">
        <f>DC106</f>
        <v>1.6999999999999999E-3</v>
      </c>
      <c r="AU114" s="623">
        <f>DC107</f>
        <v>0.80120000000000002</v>
      </c>
      <c r="AV114" s="623">
        <f>DC108</f>
        <v>8.0000000000000004E-4</v>
      </c>
      <c r="AW114" s="623">
        <f>DC109</f>
        <v>0.15909999999999999</v>
      </c>
      <c r="AX114" s="623">
        <f>DC110</f>
        <v>0</v>
      </c>
      <c r="AY114" s="623">
        <f>DC111</f>
        <v>3.7199999999999997E-2</v>
      </c>
      <c r="AZ114" s="624">
        <f>DC112</f>
        <v>0</v>
      </c>
      <c r="BA114" s="622">
        <f>DA114</f>
        <v>0</v>
      </c>
      <c r="BB114" s="623">
        <f>DA115</f>
        <v>0</v>
      </c>
      <c r="BC114" s="623">
        <f>DA116</f>
        <v>0</v>
      </c>
      <c r="BD114" s="623">
        <f>DA117</f>
        <v>0</v>
      </c>
      <c r="BE114" s="623">
        <f>DA118</f>
        <v>0.06</v>
      </c>
      <c r="BF114" s="623">
        <f>DA119</f>
        <v>0</v>
      </c>
      <c r="BG114" s="624">
        <f>DA120</f>
        <v>0</v>
      </c>
      <c r="BQ114" s="340" t="s">
        <v>96</v>
      </c>
      <c r="BR114" s="341"/>
      <c r="BS114" s="278"/>
      <c r="BT114" s="279"/>
      <c r="BU114" s="611">
        <f>CZ89</f>
        <v>198.54096000000001</v>
      </c>
      <c r="BV114" s="611">
        <f>DA89*(1+CA114)</f>
        <v>3.1419999999999999</v>
      </c>
      <c r="BW114" s="611">
        <f>DB89*DA89*(1+CZ121)</f>
        <v>1080.5523378</v>
      </c>
      <c r="BX114" s="611">
        <v>0</v>
      </c>
      <c r="BZ114" s="1"/>
      <c r="CA114" s="621">
        <f t="shared" si="59"/>
        <v>0</v>
      </c>
      <c r="CB114" s="622">
        <f>DC106</f>
        <v>1.6999999999999999E-3</v>
      </c>
      <c r="CC114" s="623">
        <f>DC107</f>
        <v>0.80120000000000002</v>
      </c>
      <c r="CD114" s="623">
        <f>DC108</f>
        <v>8.0000000000000004E-4</v>
      </c>
      <c r="CE114" s="623">
        <f>DC109</f>
        <v>0.15909999999999999</v>
      </c>
      <c r="CF114" s="623">
        <f>DC110</f>
        <v>0</v>
      </c>
      <c r="CG114" s="623">
        <f>DC111</f>
        <v>3.7199999999999997E-2</v>
      </c>
      <c r="CH114" s="624">
        <f>DC112</f>
        <v>0</v>
      </c>
      <c r="CI114" s="622">
        <f>CZ114</f>
        <v>0</v>
      </c>
      <c r="CJ114" s="623">
        <f>CZ115</f>
        <v>0</v>
      </c>
      <c r="CK114" s="623">
        <f>CZ116</f>
        <v>0</v>
      </c>
      <c r="CL114" s="623">
        <f>CZ117</f>
        <v>0</v>
      </c>
      <c r="CM114" s="623">
        <f>CZ118</f>
        <v>0.09</v>
      </c>
      <c r="CN114" s="623">
        <f>CZ119</f>
        <v>0</v>
      </c>
      <c r="CO114" s="624">
        <f>CZ120</f>
        <v>0</v>
      </c>
      <c r="CX114" s="351" t="s">
        <v>454</v>
      </c>
      <c r="CY114" s="601" t="s">
        <v>99</v>
      </c>
      <c r="CZ114" s="647">
        <v>0</v>
      </c>
      <c r="DA114" s="565">
        <f>TA_VAD!D11</f>
        <v>0</v>
      </c>
      <c r="DB114" s="602">
        <v>8471300000</v>
      </c>
    </row>
    <row r="115" spans="1:129">
      <c r="A115" s="783" t="str">
        <f>Historico!A115</f>
        <v xml:space="preserve">           e) Sector 5</v>
      </c>
      <c r="B115" s="16">
        <f>+Historico!N115</f>
        <v>0.96550000000000002</v>
      </c>
      <c r="C115" s="55">
        <f t="shared" si="53"/>
        <v>0.96250000000000002</v>
      </c>
      <c r="D115" s="76">
        <f t="shared" si="54"/>
        <v>-3.1071983428275773E-3</v>
      </c>
      <c r="F115" s="55">
        <f>IF(IF(ResumenIndicadores!$F$11="Ft-1",B115,C115)=0,"",IF(ResumenIndicadores!$F$11="Ft-1",B115,C115))</f>
        <v>0.96550000000000002</v>
      </c>
      <c r="G115" s="107"/>
      <c r="H115" s="107"/>
      <c r="I115" s="107"/>
      <c r="J115" s="107"/>
      <c r="M115" s="340" t="s">
        <v>97</v>
      </c>
      <c r="N115" s="341"/>
      <c r="O115" s="278"/>
      <c r="P115" s="279"/>
      <c r="Q115" s="576">
        <v>0.61680000000000001</v>
      </c>
      <c r="R115" s="576">
        <v>0.37480000000000002</v>
      </c>
      <c r="S115" s="576">
        <v>8.3999999999999995E-3</v>
      </c>
      <c r="T115" s="576">
        <v>0</v>
      </c>
      <c r="X115" s="340" t="s">
        <v>97</v>
      </c>
      <c r="Y115" s="341"/>
      <c r="Z115" s="278"/>
      <c r="AA115" s="279"/>
      <c r="AB115" s="611">
        <f t="shared" si="55"/>
        <v>1.0499749371615812</v>
      </c>
      <c r="AC115" s="611">
        <f t="shared" si="56"/>
        <v>0.82081476766390837</v>
      </c>
      <c r="AD115" s="611">
        <f t="shared" si="57"/>
        <v>0.85586590855583955</v>
      </c>
      <c r="AE115" s="611">
        <v>0</v>
      </c>
      <c r="AI115" s="340" t="s">
        <v>97</v>
      </c>
      <c r="AJ115" s="341"/>
      <c r="AK115" s="278"/>
      <c r="AL115" s="279"/>
      <c r="AM115" s="611">
        <f>CZ90</f>
        <v>208.463032</v>
      </c>
      <c r="AN115" s="611">
        <f>DA90*(1+AS115)</f>
        <v>2.5790000000000002</v>
      </c>
      <c r="AO115" s="611">
        <f>DB90*DA90*(1+DA121)</f>
        <v>924.80790833333344</v>
      </c>
      <c r="AP115" s="611">
        <v>0</v>
      </c>
      <c r="AR115" s="1"/>
      <c r="AS115" s="621">
        <f t="shared" si="58"/>
        <v>0</v>
      </c>
      <c r="AT115" s="622">
        <f>DD106</f>
        <v>4.1000000000000003E-3</v>
      </c>
      <c r="AU115" s="623">
        <f>DD107</f>
        <v>0.86680000000000001</v>
      </c>
      <c r="AV115" s="623">
        <f>DD108</f>
        <v>2.9999999999999997E-4</v>
      </c>
      <c r="AW115" s="623">
        <f>DD109</f>
        <v>0.1002</v>
      </c>
      <c r="AX115" s="623">
        <f>DD110</f>
        <v>0</v>
      </c>
      <c r="AY115" s="623">
        <f>DD111</f>
        <v>2.86E-2</v>
      </c>
      <c r="AZ115" s="624">
        <f>DD112</f>
        <v>0</v>
      </c>
      <c r="BA115" s="622">
        <f>DA114</f>
        <v>0</v>
      </c>
      <c r="BB115" s="623">
        <f>DA115</f>
        <v>0</v>
      </c>
      <c r="BC115" s="623">
        <f>DA116</f>
        <v>0</v>
      </c>
      <c r="BD115" s="623">
        <f>DA117</f>
        <v>0</v>
      </c>
      <c r="BE115" s="623">
        <f>DA118</f>
        <v>0.06</v>
      </c>
      <c r="BF115" s="623">
        <f>DA119</f>
        <v>0</v>
      </c>
      <c r="BG115" s="624">
        <f>DA120</f>
        <v>0</v>
      </c>
      <c r="BQ115" s="340" t="s">
        <v>97</v>
      </c>
      <c r="BR115" s="341"/>
      <c r="BS115" s="278"/>
      <c r="BT115" s="279"/>
      <c r="BU115" s="611">
        <f>CZ89</f>
        <v>198.54096000000001</v>
      </c>
      <c r="BV115" s="611">
        <f>DA89*(1+CA115)</f>
        <v>3.1419999999999999</v>
      </c>
      <c r="BW115" s="611">
        <f>DB89*DA89*(1+CZ121)</f>
        <v>1080.5523378</v>
      </c>
      <c r="BX115" s="611">
        <v>0</v>
      </c>
      <c r="BZ115" s="1"/>
      <c r="CA115" s="621">
        <f t="shared" si="59"/>
        <v>0</v>
      </c>
      <c r="CB115" s="622">
        <f>DD106</f>
        <v>4.1000000000000003E-3</v>
      </c>
      <c r="CC115" s="623">
        <f>DD107</f>
        <v>0.86680000000000001</v>
      </c>
      <c r="CD115" s="623">
        <f>DD108</f>
        <v>2.9999999999999997E-4</v>
      </c>
      <c r="CE115" s="623">
        <f>DD109</f>
        <v>0.1002</v>
      </c>
      <c r="CF115" s="623">
        <f>DD110</f>
        <v>0</v>
      </c>
      <c r="CG115" s="623">
        <f>DD111</f>
        <v>2.86E-2</v>
      </c>
      <c r="CH115" s="624">
        <f>DD112</f>
        <v>0</v>
      </c>
      <c r="CI115" s="622">
        <f>CZ114</f>
        <v>0</v>
      </c>
      <c r="CJ115" s="623">
        <f>CZ115</f>
        <v>0</v>
      </c>
      <c r="CK115" s="623">
        <f>CZ116</f>
        <v>0</v>
      </c>
      <c r="CL115" s="623">
        <f>CZ117</f>
        <v>0</v>
      </c>
      <c r="CM115" s="623">
        <f>CZ118</f>
        <v>0.09</v>
      </c>
      <c r="CN115" s="623">
        <f>CZ119</f>
        <v>0</v>
      </c>
      <c r="CO115" s="624">
        <f>CZ120</f>
        <v>0</v>
      </c>
      <c r="CX115" s="351" t="s">
        <v>455</v>
      </c>
      <c r="CY115" s="601" t="s">
        <v>150</v>
      </c>
      <c r="CZ115" s="648">
        <v>0</v>
      </c>
      <c r="DA115" s="566">
        <f>TA_VAD!D12</f>
        <v>0</v>
      </c>
      <c r="DB115" s="603">
        <v>8504219000</v>
      </c>
    </row>
    <row r="116" spans="1:129">
      <c r="A116" s="783" t="str">
        <f>Historico!A116</f>
        <v xml:space="preserve">           f) Sector Especial</v>
      </c>
      <c r="B116" s="16">
        <f>+Historico!N116</f>
        <v>0.9607</v>
      </c>
      <c r="C116" s="55">
        <f t="shared" si="53"/>
        <v>0.95850000000000002</v>
      </c>
      <c r="D116" s="76">
        <f t="shared" si="54"/>
        <v>-2.2899968772769341E-3</v>
      </c>
      <c r="F116" s="55">
        <f>IF(IF(ResumenIndicadores!$F$11="Ft-1",B116,C116)=0,"",IF(ResumenIndicadores!$F$11="Ft-1",B116,C116))</f>
        <v>0.9607</v>
      </c>
      <c r="G116" s="107"/>
      <c r="H116" s="107"/>
      <c r="I116" s="107"/>
      <c r="J116" s="107"/>
      <c r="M116" s="340" t="s">
        <v>98</v>
      </c>
      <c r="N116" s="341"/>
      <c r="O116" s="278"/>
      <c r="P116" s="279"/>
      <c r="Q116" s="576">
        <v>0.57940000000000003</v>
      </c>
      <c r="R116" s="576">
        <v>0.28110000000000002</v>
      </c>
      <c r="S116" s="576">
        <v>0.13950000000000001</v>
      </c>
      <c r="T116" s="576">
        <v>0</v>
      </c>
      <c r="X116" s="340" t="s">
        <v>98</v>
      </c>
      <c r="Y116" s="346"/>
      <c r="Z116" s="283"/>
      <c r="AA116" s="301"/>
      <c r="AB116" s="611">
        <f t="shared" si="55"/>
        <v>1.0499749371615812</v>
      </c>
      <c r="AC116" s="611">
        <f t="shared" si="56"/>
        <v>0.82081476766390837</v>
      </c>
      <c r="AD116" s="611">
        <f t="shared" si="57"/>
        <v>0.85586590855583955</v>
      </c>
      <c r="AE116" s="611">
        <v>0</v>
      </c>
      <c r="AI116" s="340" t="s">
        <v>98</v>
      </c>
      <c r="AJ116" s="346"/>
      <c r="AK116" s="283"/>
      <c r="AL116" s="301"/>
      <c r="AM116" s="611">
        <f>CZ90</f>
        <v>208.463032</v>
      </c>
      <c r="AN116" s="611">
        <f>DA90*(1+AS116)</f>
        <v>2.5790000000000002</v>
      </c>
      <c r="AO116" s="611">
        <f>DB90*DA90*(1+DA121)</f>
        <v>924.80790833333344</v>
      </c>
      <c r="AP116" s="611">
        <v>0</v>
      </c>
      <c r="AR116" s="1"/>
      <c r="AS116" s="621">
        <f t="shared" si="58"/>
        <v>0</v>
      </c>
      <c r="AT116" s="622">
        <f>DE106</f>
        <v>7.0000000000000007E-2</v>
      </c>
      <c r="AU116" s="623">
        <f>DE107</f>
        <v>0.82750000000000001</v>
      </c>
      <c r="AV116" s="623">
        <f>DE108</f>
        <v>1.77E-2</v>
      </c>
      <c r="AW116" s="623">
        <f>DE109</f>
        <v>2.5600000000000001E-2</v>
      </c>
      <c r="AX116" s="623">
        <f>DE110</f>
        <v>0</v>
      </c>
      <c r="AY116" s="623">
        <f>DE111</f>
        <v>5.9200000000000003E-2</v>
      </c>
      <c r="AZ116" s="624">
        <f>DE112</f>
        <v>0</v>
      </c>
      <c r="BA116" s="622">
        <f>DA114</f>
        <v>0</v>
      </c>
      <c r="BB116" s="623">
        <f>DA115</f>
        <v>0</v>
      </c>
      <c r="BC116" s="623">
        <f>DA116</f>
        <v>0</v>
      </c>
      <c r="BD116" s="623">
        <f>DA117</f>
        <v>0</v>
      </c>
      <c r="BE116" s="623">
        <f>DA118</f>
        <v>0.06</v>
      </c>
      <c r="BF116" s="623">
        <f>DA119</f>
        <v>0</v>
      </c>
      <c r="BG116" s="624">
        <f>DA120</f>
        <v>0</v>
      </c>
      <c r="BQ116" s="340" t="s">
        <v>98</v>
      </c>
      <c r="BR116" s="346"/>
      <c r="BS116" s="283"/>
      <c r="BT116" s="301"/>
      <c r="BU116" s="611">
        <f>CZ89</f>
        <v>198.54096000000001</v>
      </c>
      <c r="BV116" s="611">
        <f>DA89*(1+CA116)</f>
        <v>3.1419999999999999</v>
      </c>
      <c r="BW116" s="611">
        <f>DB89*DA89*(1+CZ121)</f>
        <v>1080.5523378</v>
      </c>
      <c r="BX116" s="611">
        <v>0</v>
      </c>
      <c r="BZ116" s="1"/>
      <c r="CA116" s="621">
        <f t="shared" si="59"/>
        <v>0</v>
      </c>
      <c r="CB116" s="622">
        <f>DE106</f>
        <v>7.0000000000000007E-2</v>
      </c>
      <c r="CC116" s="623">
        <f>DE107</f>
        <v>0.82750000000000001</v>
      </c>
      <c r="CD116" s="623">
        <f>DE108</f>
        <v>1.77E-2</v>
      </c>
      <c r="CE116" s="623">
        <f>DE109</f>
        <v>2.5600000000000001E-2</v>
      </c>
      <c r="CF116" s="623">
        <f>DE110</f>
        <v>0</v>
      </c>
      <c r="CG116" s="623">
        <f>DE111</f>
        <v>5.9200000000000003E-2</v>
      </c>
      <c r="CH116" s="624">
        <f>DE112</f>
        <v>0</v>
      </c>
      <c r="CI116" s="622">
        <f>CZ114</f>
        <v>0</v>
      </c>
      <c r="CJ116" s="623">
        <f>CZ115</f>
        <v>0</v>
      </c>
      <c r="CK116" s="623">
        <f>CZ116</f>
        <v>0</v>
      </c>
      <c r="CL116" s="623">
        <f>CZ117</f>
        <v>0</v>
      </c>
      <c r="CM116" s="623">
        <f>CZ118</f>
        <v>0.09</v>
      </c>
      <c r="CN116" s="623">
        <f>CZ119</f>
        <v>0</v>
      </c>
      <c r="CO116" s="624">
        <f>CZ120</f>
        <v>0</v>
      </c>
      <c r="CX116" s="351" t="s">
        <v>456</v>
      </c>
      <c r="CY116" s="604" t="s">
        <v>100</v>
      </c>
      <c r="CZ116" s="648">
        <v>0</v>
      </c>
      <c r="DA116" s="566">
        <f>TA_VAD!D13</f>
        <v>0</v>
      </c>
      <c r="DB116" s="603">
        <v>8517110000</v>
      </c>
    </row>
    <row r="117" spans="1:129">
      <c r="A117" s="783" t="str">
        <f>Historico!A117</f>
        <v xml:space="preserve">           g) VAD SER 100 Estado Prepago</v>
      </c>
      <c r="B117" s="16">
        <f>+Historico!N117</f>
        <v>0.96730000000000005</v>
      </c>
      <c r="C117" s="55">
        <f t="shared" si="53"/>
        <v>0.96430000000000005</v>
      </c>
      <c r="D117" s="76">
        <f t="shared" si="54"/>
        <v>-3.1014163134498451E-3</v>
      </c>
      <c r="F117" s="55">
        <f>IF(IF(ResumenIndicadores!$F$11="Ft-1",B117,C117)=0,"",IF(ResumenIndicadores!$F$11="Ft-1",B117,C117))</f>
        <v>0.96730000000000005</v>
      </c>
      <c r="G117" s="107"/>
      <c r="H117" s="107"/>
      <c r="I117" s="107"/>
      <c r="J117" s="107"/>
      <c r="K117" s="3"/>
      <c r="L117" s="3"/>
      <c r="M117" s="822" t="s">
        <v>157</v>
      </c>
      <c r="N117" s="347" t="s">
        <v>158</v>
      </c>
      <c r="O117" s="278"/>
      <c r="P117" s="279"/>
      <c r="Q117" s="576">
        <v>0.625</v>
      </c>
      <c r="R117" s="576">
        <v>0.36680000000000001</v>
      </c>
      <c r="S117" s="576">
        <v>8.2000000000000007E-3</v>
      </c>
      <c r="T117" s="576">
        <v>0</v>
      </c>
      <c r="X117" s="822" t="s">
        <v>157</v>
      </c>
      <c r="Y117" s="347" t="s">
        <v>158</v>
      </c>
      <c r="Z117" s="278"/>
      <c r="AA117" s="279"/>
      <c r="AB117" s="611">
        <f t="shared" si="55"/>
        <v>1.0499749371615812</v>
      </c>
      <c r="AC117" s="611">
        <f t="shared" si="56"/>
        <v>0.82081476766390837</v>
      </c>
      <c r="AD117" s="611">
        <f t="shared" si="57"/>
        <v>0.85586590855583955</v>
      </c>
      <c r="AE117" s="611">
        <v>0</v>
      </c>
      <c r="AI117" s="822" t="s">
        <v>157</v>
      </c>
      <c r="AJ117" s="347" t="s">
        <v>158</v>
      </c>
      <c r="AK117" s="278"/>
      <c r="AL117" s="279"/>
      <c r="AM117" s="611">
        <f>CZ90</f>
        <v>208.463032</v>
      </c>
      <c r="AN117" s="611">
        <f>DA90*(1+AS117)</f>
        <v>2.5790000000000002</v>
      </c>
      <c r="AO117" s="611">
        <f>DB90*DA90*(1+DA121)</f>
        <v>924.80790833333344</v>
      </c>
      <c r="AP117" s="611">
        <v>0</v>
      </c>
      <c r="AR117" s="1"/>
      <c r="AS117" s="621">
        <f t="shared" si="58"/>
        <v>0</v>
      </c>
      <c r="AT117" s="622">
        <f>DF106</f>
        <v>1.0999999999999999E-2</v>
      </c>
      <c r="AU117" s="623">
        <f>DF107</f>
        <v>0.87580000000000002</v>
      </c>
      <c r="AV117" s="623">
        <f>DF108</f>
        <v>1.6000000000000001E-3</v>
      </c>
      <c r="AW117" s="623">
        <f>DF109</f>
        <v>7.5499999999999998E-2</v>
      </c>
      <c r="AX117" s="623">
        <f>DF110</f>
        <v>0</v>
      </c>
      <c r="AY117" s="623">
        <f>DF111</f>
        <v>3.61E-2</v>
      </c>
      <c r="AZ117" s="624">
        <f>DF112</f>
        <v>0</v>
      </c>
      <c r="BA117" s="622">
        <f>DA114</f>
        <v>0</v>
      </c>
      <c r="BB117" s="623">
        <f>DA115</f>
        <v>0</v>
      </c>
      <c r="BC117" s="623">
        <f>DA116</f>
        <v>0</v>
      </c>
      <c r="BD117" s="623">
        <f>DA117</f>
        <v>0</v>
      </c>
      <c r="BE117" s="623">
        <f>DA118</f>
        <v>0.06</v>
      </c>
      <c r="BF117" s="623">
        <f>DA119</f>
        <v>0</v>
      </c>
      <c r="BG117" s="624">
        <f>DA120</f>
        <v>0</v>
      </c>
      <c r="BQ117" s="822" t="s">
        <v>157</v>
      </c>
      <c r="BR117" s="347" t="s">
        <v>158</v>
      </c>
      <c r="BS117" s="278"/>
      <c r="BT117" s="279"/>
      <c r="BU117" s="611">
        <f>CZ89</f>
        <v>198.54096000000001</v>
      </c>
      <c r="BV117" s="611">
        <f>DA89*(1+CA117)</f>
        <v>3.1419999999999999</v>
      </c>
      <c r="BW117" s="611">
        <f>DB89*DA89*(1+CZ121)</f>
        <v>1080.5523378</v>
      </c>
      <c r="BX117" s="611">
        <v>0</v>
      </c>
      <c r="BZ117" s="1"/>
      <c r="CA117" s="621">
        <f t="shared" si="59"/>
        <v>0</v>
      </c>
      <c r="CB117" s="622">
        <f>DF106</f>
        <v>1.0999999999999999E-2</v>
      </c>
      <c r="CC117" s="623">
        <f>DF107</f>
        <v>0.87580000000000002</v>
      </c>
      <c r="CD117" s="623">
        <f>DF108</f>
        <v>1.6000000000000001E-3</v>
      </c>
      <c r="CE117" s="623">
        <f>DF109</f>
        <v>7.5499999999999998E-2</v>
      </c>
      <c r="CF117" s="623">
        <f>DF110</f>
        <v>0</v>
      </c>
      <c r="CG117" s="623">
        <f>DF111</f>
        <v>3.61E-2</v>
      </c>
      <c r="CH117" s="624">
        <f>DF112</f>
        <v>0</v>
      </c>
      <c r="CI117" s="622">
        <f>CZ114</f>
        <v>0</v>
      </c>
      <c r="CJ117" s="623">
        <f>CZ115</f>
        <v>0</v>
      </c>
      <c r="CK117" s="623">
        <f>CZ116</f>
        <v>0</v>
      </c>
      <c r="CL117" s="623">
        <f>CZ117</f>
        <v>0</v>
      </c>
      <c r="CM117" s="623">
        <f>CZ118</f>
        <v>0.09</v>
      </c>
      <c r="CN117" s="623">
        <f>CZ119</f>
        <v>0</v>
      </c>
      <c r="CO117" s="624">
        <f>CZ120</f>
        <v>0</v>
      </c>
      <c r="CX117" s="351" t="s">
        <v>461</v>
      </c>
      <c r="CY117" s="601" t="s">
        <v>101</v>
      </c>
      <c r="CZ117" s="648">
        <v>0</v>
      </c>
      <c r="DA117" s="566">
        <f>TA_VAD!D14</f>
        <v>0</v>
      </c>
      <c r="DB117" s="603">
        <v>8535300000</v>
      </c>
    </row>
    <row r="118" spans="1:129">
      <c r="A118" s="783" t="str">
        <f>Historico!A118</f>
        <v xml:space="preserve">           h) VAD SER 100 Estado Convencional</v>
      </c>
      <c r="B118" s="16">
        <f>+Historico!N118</f>
        <v>0.96950000000000003</v>
      </c>
      <c r="C118" s="55">
        <f t="shared" si="53"/>
        <v>0.96650000000000003</v>
      </c>
      <c r="D118" s="76">
        <f t="shared" si="54"/>
        <v>-3.0943785456420958E-3</v>
      </c>
      <c r="F118" s="55">
        <f>IF(IF(ResumenIndicadores!$F$11="Ft-1",B118,C118)=0,"",IF(ResumenIndicadores!$F$11="Ft-1",B118,C118))</f>
        <v>0.96950000000000003</v>
      </c>
      <c r="G118" s="107"/>
      <c r="H118" s="107"/>
      <c r="I118" s="107"/>
      <c r="J118" s="107"/>
      <c r="K118" s="3"/>
      <c r="L118" s="3"/>
      <c r="M118" s="823"/>
      <c r="N118" s="347" t="s">
        <v>156</v>
      </c>
      <c r="O118" s="278"/>
      <c r="P118" s="279"/>
      <c r="Q118" s="576">
        <v>0.63449999999999995</v>
      </c>
      <c r="R118" s="576">
        <v>0.35749999999999998</v>
      </c>
      <c r="S118" s="576">
        <v>8.0000000000000002E-3</v>
      </c>
      <c r="T118" s="576">
        <v>0</v>
      </c>
      <c r="X118" s="823"/>
      <c r="Y118" s="347" t="s">
        <v>156</v>
      </c>
      <c r="Z118" s="278"/>
      <c r="AA118" s="279"/>
      <c r="AB118" s="611">
        <f t="shared" si="55"/>
        <v>1.0499749371615812</v>
      </c>
      <c r="AC118" s="611">
        <f t="shared" si="56"/>
        <v>0.82081476766390837</v>
      </c>
      <c r="AD118" s="611">
        <f t="shared" si="57"/>
        <v>0.85586590855583955</v>
      </c>
      <c r="AE118" s="611">
        <v>0</v>
      </c>
      <c r="AI118" s="823"/>
      <c r="AJ118" s="347" t="s">
        <v>156</v>
      </c>
      <c r="AK118" s="278"/>
      <c r="AL118" s="279"/>
      <c r="AM118" s="611">
        <f>CZ90</f>
        <v>208.463032</v>
      </c>
      <c r="AN118" s="611">
        <f>DA90*(1+AS118)</f>
        <v>2.5790000000000002</v>
      </c>
      <c r="AO118" s="611">
        <f>DB90*DA90*(1+DA121)</f>
        <v>924.80790833333344</v>
      </c>
      <c r="AP118" s="611">
        <v>0</v>
      </c>
      <c r="AR118" s="1"/>
      <c r="AS118" s="621">
        <f t="shared" si="58"/>
        <v>0</v>
      </c>
      <c r="AT118" s="622">
        <f>DG106</f>
        <v>1.0999999999999999E-2</v>
      </c>
      <c r="AU118" s="623">
        <f>DG107</f>
        <v>0.87580000000000002</v>
      </c>
      <c r="AV118" s="623">
        <f>DG108</f>
        <v>1.6000000000000001E-3</v>
      </c>
      <c r="AW118" s="623">
        <f>DG109</f>
        <v>7.5499999999999998E-2</v>
      </c>
      <c r="AX118" s="623">
        <f>DG110</f>
        <v>0</v>
      </c>
      <c r="AY118" s="623">
        <f>DG111</f>
        <v>3.61E-2</v>
      </c>
      <c r="AZ118" s="624">
        <f>DG112</f>
        <v>0</v>
      </c>
      <c r="BA118" s="622">
        <f>DA114</f>
        <v>0</v>
      </c>
      <c r="BB118" s="623">
        <f>DA115</f>
        <v>0</v>
      </c>
      <c r="BC118" s="623">
        <f>DA116</f>
        <v>0</v>
      </c>
      <c r="BD118" s="623">
        <f>DA117</f>
        <v>0</v>
      </c>
      <c r="BE118" s="623">
        <f>DA118</f>
        <v>0.06</v>
      </c>
      <c r="BF118" s="623">
        <f>DA119</f>
        <v>0</v>
      </c>
      <c r="BG118" s="624">
        <f>DA120</f>
        <v>0</v>
      </c>
      <c r="BQ118" s="823"/>
      <c r="BR118" s="347" t="s">
        <v>156</v>
      </c>
      <c r="BS118" s="278"/>
      <c r="BT118" s="279"/>
      <c r="BU118" s="611">
        <f>CZ89</f>
        <v>198.54096000000001</v>
      </c>
      <c r="BV118" s="611">
        <f>DA89*(1+CA118)</f>
        <v>3.1419999999999999</v>
      </c>
      <c r="BW118" s="611">
        <f>DB89*DA89*(1+CZ121)</f>
        <v>1080.5523378</v>
      </c>
      <c r="BX118" s="611">
        <v>0</v>
      </c>
      <c r="BZ118" s="1"/>
      <c r="CA118" s="621">
        <f t="shared" si="59"/>
        <v>0</v>
      </c>
      <c r="CB118" s="622">
        <f>DG106</f>
        <v>1.0999999999999999E-2</v>
      </c>
      <c r="CC118" s="623">
        <f>DG107</f>
        <v>0.87580000000000002</v>
      </c>
      <c r="CD118" s="623">
        <f>DG108</f>
        <v>1.6000000000000001E-3</v>
      </c>
      <c r="CE118" s="623">
        <f>DG109</f>
        <v>7.5499999999999998E-2</v>
      </c>
      <c r="CF118" s="623">
        <f>DG110</f>
        <v>0</v>
      </c>
      <c r="CG118" s="623">
        <f>DG111</f>
        <v>3.61E-2</v>
      </c>
      <c r="CH118" s="624">
        <f>DG112</f>
        <v>0</v>
      </c>
      <c r="CI118" s="622">
        <f>CZ114</f>
        <v>0</v>
      </c>
      <c r="CJ118" s="623">
        <f>CZ115</f>
        <v>0</v>
      </c>
      <c r="CK118" s="623">
        <f>CZ116</f>
        <v>0</v>
      </c>
      <c r="CL118" s="623">
        <f>CZ117</f>
        <v>0</v>
      </c>
      <c r="CM118" s="623">
        <f>CZ118</f>
        <v>0.09</v>
      </c>
      <c r="CN118" s="623">
        <f>CZ119</f>
        <v>0</v>
      </c>
      <c r="CO118" s="624">
        <f>CZ120</f>
        <v>0</v>
      </c>
      <c r="CX118" s="351" t="s">
        <v>457</v>
      </c>
      <c r="CY118" s="601" t="s">
        <v>102</v>
      </c>
      <c r="CZ118" s="648">
        <v>0.09</v>
      </c>
      <c r="DA118" s="566">
        <f>TA_VAD!D15</f>
        <v>0.06</v>
      </c>
      <c r="DB118" s="603">
        <v>8539320000</v>
      </c>
    </row>
    <row r="119" spans="1:129">
      <c r="A119" s="783" t="str">
        <f>Historico!A119</f>
        <v xml:space="preserve">           i) VAD SER 100 Empresa Prepago</v>
      </c>
      <c r="B119" s="16">
        <f>+Historico!N119</f>
        <v>0.96730000000000005</v>
      </c>
      <c r="C119" s="55">
        <f t="shared" si="53"/>
        <v>0.96430000000000005</v>
      </c>
      <c r="D119" s="76">
        <f t="shared" si="54"/>
        <v>-3.1014163134498451E-3</v>
      </c>
      <c r="F119" s="55">
        <f>IF(IF(ResumenIndicadores!$F$11="Ft-1",B119,C119)=0,"",IF(ResumenIndicadores!$F$11="Ft-1",B119,C119))</f>
        <v>0.96730000000000005</v>
      </c>
      <c r="G119" s="107"/>
      <c r="H119" s="107"/>
      <c r="I119" s="107"/>
      <c r="J119" s="107"/>
      <c r="K119" s="3"/>
      <c r="L119" s="3"/>
      <c r="M119" s="822" t="s">
        <v>159</v>
      </c>
      <c r="N119" s="347" t="s">
        <v>158</v>
      </c>
      <c r="O119" s="278"/>
      <c r="P119" s="279"/>
      <c r="Q119" s="576">
        <v>0.625</v>
      </c>
      <c r="R119" s="576">
        <v>0.36680000000000001</v>
      </c>
      <c r="S119" s="576">
        <v>8.2000000000000007E-3</v>
      </c>
      <c r="T119" s="576">
        <v>0</v>
      </c>
      <c r="X119" s="822" t="s">
        <v>159</v>
      </c>
      <c r="Y119" s="347" t="s">
        <v>158</v>
      </c>
      <c r="Z119" s="278"/>
      <c r="AA119" s="279"/>
      <c r="AB119" s="611">
        <f t="shared" si="55"/>
        <v>1.0499749371615812</v>
      </c>
      <c r="AC119" s="611">
        <f t="shared" si="56"/>
        <v>0.82081476766390837</v>
      </c>
      <c r="AD119" s="611">
        <f t="shared" si="57"/>
        <v>0.85586590855583955</v>
      </c>
      <c r="AE119" s="611">
        <v>0</v>
      </c>
      <c r="AI119" s="822" t="s">
        <v>159</v>
      </c>
      <c r="AJ119" s="347" t="s">
        <v>158</v>
      </c>
      <c r="AK119" s="278"/>
      <c r="AL119" s="279"/>
      <c r="AM119" s="611">
        <f>CZ90</f>
        <v>208.463032</v>
      </c>
      <c r="AN119" s="611">
        <f>DA90*(1+AS119)</f>
        <v>2.5790000000000002</v>
      </c>
      <c r="AO119" s="611">
        <f>DB90*DA90*(1+DA121)</f>
        <v>924.80790833333344</v>
      </c>
      <c r="AP119" s="611">
        <v>0</v>
      </c>
      <c r="AR119" s="1"/>
      <c r="AS119" s="621">
        <f t="shared" si="58"/>
        <v>0</v>
      </c>
      <c r="AT119" s="622">
        <f>DH106</f>
        <v>1.0999999999999999E-2</v>
      </c>
      <c r="AU119" s="623">
        <f>DH107</f>
        <v>0.87580000000000002</v>
      </c>
      <c r="AV119" s="623">
        <f>DH108</f>
        <v>1.6000000000000001E-3</v>
      </c>
      <c r="AW119" s="623">
        <f>DH109</f>
        <v>7.5499999999999998E-2</v>
      </c>
      <c r="AX119" s="623">
        <f>DH110</f>
        <v>0</v>
      </c>
      <c r="AY119" s="623">
        <f>DH111</f>
        <v>3.61E-2</v>
      </c>
      <c r="AZ119" s="624">
        <f>DH112</f>
        <v>0</v>
      </c>
      <c r="BA119" s="622">
        <f>DA114</f>
        <v>0</v>
      </c>
      <c r="BB119" s="623">
        <f>DA115</f>
        <v>0</v>
      </c>
      <c r="BC119" s="623">
        <f>DA116</f>
        <v>0</v>
      </c>
      <c r="BD119" s="623">
        <f>DA117</f>
        <v>0</v>
      </c>
      <c r="BE119" s="623">
        <f>DA118</f>
        <v>0.06</v>
      </c>
      <c r="BF119" s="623">
        <f>DA119</f>
        <v>0</v>
      </c>
      <c r="BG119" s="624">
        <f>DA120</f>
        <v>0</v>
      </c>
      <c r="BQ119" s="822" t="s">
        <v>159</v>
      </c>
      <c r="BR119" s="347" t="s">
        <v>158</v>
      </c>
      <c r="BS119" s="278"/>
      <c r="BT119" s="279"/>
      <c r="BU119" s="611">
        <f>CZ89</f>
        <v>198.54096000000001</v>
      </c>
      <c r="BV119" s="611">
        <f>DA89*(1+CA119)</f>
        <v>3.1419999999999999</v>
      </c>
      <c r="BW119" s="611">
        <f>DB89*DA89*(1+CZ121)</f>
        <v>1080.5523378</v>
      </c>
      <c r="BX119" s="611">
        <v>0</v>
      </c>
      <c r="BZ119" s="1"/>
      <c r="CA119" s="621">
        <f t="shared" si="59"/>
        <v>0</v>
      </c>
      <c r="CB119" s="622">
        <f>DH106</f>
        <v>1.0999999999999999E-2</v>
      </c>
      <c r="CC119" s="623">
        <f>DH107</f>
        <v>0.87580000000000002</v>
      </c>
      <c r="CD119" s="623">
        <f>DH108</f>
        <v>1.6000000000000001E-3</v>
      </c>
      <c r="CE119" s="623">
        <f>DH109</f>
        <v>7.5499999999999998E-2</v>
      </c>
      <c r="CF119" s="623">
        <f>DH110</f>
        <v>0</v>
      </c>
      <c r="CG119" s="623">
        <f>DH111</f>
        <v>3.61E-2</v>
      </c>
      <c r="CH119" s="624">
        <f>DH112</f>
        <v>0</v>
      </c>
      <c r="CI119" s="622">
        <f>CZ114</f>
        <v>0</v>
      </c>
      <c r="CJ119" s="623">
        <f>CZ115</f>
        <v>0</v>
      </c>
      <c r="CK119" s="623">
        <f>CZ116</f>
        <v>0</v>
      </c>
      <c r="CL119" s="623">
        <f>CZ117</f>
        <v>0</v>
      </c>
      <c r="CM119" s="623">
        <f>CZ118</f>
        <v>0.09</v>
      </c>
      <c r="CN119" s="623">
        <f>CZ119</f>
        <v>0</v>
      </c>
      <c r="CO119" s="624">
        <f>CZ120</f>
        <v>0</v>
      </c>
      <c r="CX119" s="351" t="s">
        <v>458</v>
      </c>
      <c r="CY119" s="601" t="s">
        <v>151</v>
      </c>
      <c r="CZ119" s="648">
        <v>0</v>
      </c>
      <c r="DA119" s="566">
        <f>TA_VAD!D16</f>
        <v>0</v>
      </c>
      <c r="DB119" s="603">
        <v>8704211010</v>
      </c>
    </row>
    <row r="120" spans="1:129">
      <c r="A120" s="783" t="str">
        <f>Historico!A120</f>
        <v xml:space="preserve">           j) VAD SER 100 Empresa Convencional</v>
      </c>
      <c r="B120" s="16">
        <f>+Historico!N120</f>
        <v>0.96950000000000003</v>
      </c>
      <c r="C120" s="55">
        <f t="shared" si="53"/>
        <v>0.96650000000000003</v>
      </c>
      <c r="D120" s="76">
        <f t="shared" si="54"/>
        <v>-3.0943785456420958E-3</v>
      </c>
      <c r="F120" s="55">
        <f>IF(IF(ResumenIndicadores!$F$11="Ft-1",B120,C120)=0,"",IF(ResumenIndicadores!$F$11="Ft-1",B120,C120))</f>
        <v>0.96950000000000003</v>
      </c>
      <c r="G120" s="107"/>
      <c r="H120" s="107"/>
      <c r="I120" s="107"/>
      <c r="J120" s="107"/>
      <c r="K120" s="3"/>
      <c r="L120" s="3"/>
      <c r="M120" s="823"/>
      <c r="N120" s="347" t="s">
        <v>156</v>
      </c>
      <c r="O120" s="278"/>
      <c r="P120" s="279"/>
      <c r="Q120" s="577">
        <v>0.63449999999999995</v>
      </c>
      <c r="R120" s="577">
        <v>0.35749999999999998</v>
      </c>
      <c r="S120" s="577">
        <v>8.0000000000000002E-3</v>
      </c>
      <c r="T120" s="577">
        <v>0</v>
      </c>
      <c r="X120" s="823"/>
      <c r="Y120" s="347" t="s">
        <v>156</v>
      </c>
      <c r="Z120" s="278"/>
      <c r="AA120" s="279"/>
      <c r="AB120" s="612">
        <f t="shared" si="55"/>
        <v>1.0499749371615812</v>
      </c>
      <c r="AC120" s="612">
        <f t="shared" si="56"/>
        <v>0.82081476766390837</v>
      </c>
      <c r="AD120" s="612">
        <f t="shared" si="57"/>
        <v>0.85586590855583955</v>
      </c>
      <c r="AE120" s="612">
        <v>0</v>
      </c>
      <c r="AI120" s="823"/>
      <c r="AJ120" s="347" t="s">
        <v>156</v>
      </c>
      <c r="AK120" s="278"/>
      <c r="AL120" s="279"/>
      <c r="AM120" s="612">
        <f>CZ90</f>
        <v>208.463032</v>
      </c>
      <c r="AN120" s="612">
        <f>DA90*(1+AS120)</f>
        <v>2.5790000000000002</v>
      </c>
      <c r="AO120" s="612">
        <f>DB90*DA90*(1+DA121)</f>
        <v>924.80790833333344</v>
      </c>
      <c r="AP120" s="612">
        <v>0</v>
      </c>
      <c r="AR120" s="1"/>
      <c r="AS120" s="629">
        <f t="shared" si="58"/>
        <v>0</v>
      </c>
      <c r="AT120" s="630">
        <f>DI106</f>
        <v>1.0999999999999999E-2</v>
      </c>
      <c r="AU120" s="631">
        <f>DI107</f>
        <v>0.87580000000000002</v>
      </c>
      <c r="AV120" s="631">
        <f>DI108</f>
        <v>1.6000000000000001E-3</v>
      </c>
      <c r="AW120" s="631">
        <f>DI109</f>
        <v>7.5499999999999998E-2</v>
      </c>
      <c r="AX120" s="631">
        <f>DI110</f>
        <v>0</v>
      </c>
      <c r="AY120" s="631">
        <f>DI111</f>
        <v>3.61E-2</v>
      </c>
      <c r="AZ120" s="632">
        <f>DI112</f>
        <v>0</v>
      </c>
      <c r="BA120" s="630">
        <f>DA114</f>
        <v>0</v>
      </c>
      <c r="BB120" s="631">
        <f>DA115</f>
        <v>0</v>
      </c>
      <c r="BC120" s="631">
        <f>DA116</f>
        <v>0</v>
      </c>
      <c r="BD120" s="631">
        <f>DA117</f>
        <v>0</v>
      </c>
      <c r="BE120" s="631">
        <f>DA118</f>
        <v>0.06</v>
      </c>
      <c r="BF120" s="631">
        <f>DA119</f>
        <v>0</v>
      </c>
      <c r="BG120" s="632">
        <f>DA120</f>
        <v>0</v>
      </c>
      <c r="BQ120" s="823"/>
      <c r="BR120" s="347" t="s">
        <v>156</v>
      </c>
      <c r="BS120" s="278"/>
      <c r="BT120" s="279"/>
      <c r="BU120" s="612">
        <f>CZ89</f>
        <v>198.54096000000001</v>
      </c>
      <c r="BV120" s="612">
        <f>DA89*(1+CA120)</f>
        <v>3.1419999999999999</v>
      </c>
      <c r="BW120" s="612">
        <f>DB89*DA89*(1+CZ121)</f>
        <v>1080.5523378</v>
      </c>
      <c r="BX120" s="612">
        <v>0</v>
      </c>
      <c r="BZ120" s="1"/>
      <c r="CA120" s="629">
        <f t="shared" si="59"/>
        <v>0</v>
      </c>
      <c r="CB120" s="630">
        <f>DI106</f>
        <v>1.0999999999999999E-2</v>
      </c>
      <c r="CC120" s="631">
        <f>DI107</f>
        <v>0.87580000000000002</v>
      </c>
      <c r="CD120" s="631">
        <f>DI108</f>
        <v>1.6000000000000001E-3</v>
      </c>
      <c r="CE120" s="631">
        <f>DI109</f>
        <v>7.5499999999999998E-2</v>
      </c>
      <c r="CF120" s="631">
        <f>DI110</f>
        <v>0</v>
      </c>
      <c r="CG120" s="631">
        <f>DI111</f>
        <v>3.61E-2</v>
      </c>
      <c r="CH120" s="632">
        <f>DI112</f>
        <v>0</v>
      </c>
      <c r="CI120" s="630">
        <f>CZ114</f>
        <v>0</v>
      </c>
      <c r="CJ120" s="631">
        <f>CZ115</f>
        <v>0</v>
      </c>
      <c r="CK120" s="631">
        <f>CZ116</f>
        <v>0</v>
      </c>
      <c r="CL120" s="631">
        <f>CZ117</f>
        <v>0</v>
      </c>
      <c r="CM120" s="631">
        <f>CZ118</f>
        <v>0.09</v>
      </c>
      <c r="CN120" s="631">
        <f>CZ119</f>
        <v>0</v>
      </c>
      <c r="CO120" s="632">
        <f>CZ120</f>
        <v>0</v>
      </c>
      <c r="CX120" s="351" t="s">
        <v>459</v>
      </c>
      <c r="CY120" s="601" t="s">
        <v>103</v>
      </c>
      <c r="CZ120" s="648">
        <v>0</v>
      </c>
      <c r="DA120" s="566">
        <f>TA_VAD!D17</f>
        <v>0</v>
      </c>
      <c r="DB120" s="603">
        <v>9028301000</v>
      </c>
    </row>
    <row r="121" spans="1:129">
      <c r="A121" s="783" t="str">
        <f>Historico!A121</f>
        <v/>
      </c>
      <c r="B121" s="16"/>
      <c r="C121" s="55"/>
      <c r="D121" s="76"/>
      <c r="F121" s="55" t="str">
        <f>IF(IF(ResumenIndicadores!$F$11="Ft-1",B121,C121)=0,"",IF(ResumenIndicadores!$F$11="Ft-1",B121,C121))</f>
        <v/>
      </c>
      <c r="G121" s="105"/>
      <c r="H121" s="105"/>
      <c r="I121" s="105"/>
      <c r="J121" s="105"/>
      <c r="K121" s="3"/>
      <c r="L121" s="3"/>
      <c r="M121" s="250"/>
      <c r="N121" s="250"/>
      <c r="O121" s="250"/>
      <c r="P121" s="250"/>
      <c r="W121" s="250"/>
      <c r="X121" s="75" t="s">
        <v>476</v>
      </c>
      <c r="Y121" s="268"/>
      <c r="Z121" s="268"/>
      <c r="AA121" s="268"/>
      <c r="AB121" s="258" t="s">
        <v>406</v>
      </c>
      <c r="AH121" s="250"/>
      <c r="AI121" s="75" t="s">
        <v>476</v>
      </c>
      <c r="AJ121" s="268"/>
      <c r="AK121" s="268"/>
      <c r="AL121" s="268"/>
      <c r="AM121" s="258" t="s">
        <v>406</v>
      </c>
      <c r="AR121" s="1"/>
      <c r="AT121" s="250"/>
      <c r="AU121" s="250"/>
      <c r="AV121" s="250"/>
      <c r="AW121" s="250"/>
      <c r="AX121" s="250"/>
      <c r="AY121" s="250"/>
      <c r="AZ121" s="250"/>
      <c r="BA121" s="250"/>
      <c r="BB121" s="250"/>
      <c r="BC121" s="250"/>
      <c r="BD121" s="250"/>
      <c r="BE121" s="250"/>
      <c r="BF121" s="250"/>
      <c r="BG121" s="250"/>
      <c r="BH121" s="250"/>
      <c r="BI121" s="250"/>
      <c r="BJ121" s="250"/>
      <c r="BK121" s="250"/>
      <c r="BL121" s="250"/>
      <c r="BM121" s="250"/>
      <c r="BN121" s="250"/>
      <c r="BO121" s="250"/>
      <c r="BP121" s="250"/>
      <c r="BQ121" s="75" t="s">
        <v>476</v>
      </c>
      <c r="BR121" s="268"/>
      <c r="BS121" s="268"/>
      <c r="BT121" s="268"/>
      <c r="BU121" s="258" t="s">
        <v>406</v>
      </c>
      <c r="BZ121" s="1"/>
      <c r="CB121" s="250"/>
      <c r="CC121" s="250"/>
      <c r="CD121" s="250"/>
      <c r="CE121" s="250"/>
      <c r="CF121" s="250"/>
      <c r="CG121" s="250"/>
      <c r="CH121" s="250"/>
      <c r="CI121" s="250"/>
      <c r="CJ121" s="250"/>
      <c r="CK121" s="250"/>
      <c r="CL121" s="250"/>
      <c r="CM121" s="250"/>
      <c r="CN121" s="250"/>
      <c r="CO121" s="250"/>
      <c r="CP121" s="250"/>
      <c r="CQ121" s="250"/>
      <c r="CR121" s="250"/>
      <c r="CS121" s="250"/>
      <c r="CT121" s="250"/>
      <c r="CU121" s="250"/>
      <c r="CV121" s="250"/>
      <c r="CW121" s="250"/>
      <c r="CX121" s="351" t="s">
        <v>450</v>
      </c>
      <c r="CY121" s="601" t="s">
        <v>305</v>
      </c>
      <c r="CZ121" s="648">
        <v>0.09</v>
      </c>
      <c r="DA121" s="566">
        <f>TA_VAD!D18</f>
        <v>0</v>
      </c>
      <c r="DB121" s="603">
        <v>7413000000</v>
      </c>
      <c r="DY121" s="266"/>
    </row>
    <row r="122" spans="1:129">
      <c r="A122" s="784" t="str">
        <f>Historico!A122</f>
        <v xml:space="preserve">4. CARGOS FIJOS </v>
      </c>
      <c r="B122" s="17">
        <f>+Historico!N122</f>
        <v>1.0523</v>
      </c>
      <c r="C122" s="14">
        <f>ROUND(AB122,4)</f>
        <v>1.05</v>
      </c>
      <c r="D122" s="77">
        <f t="shared" si="54"/>
        <v>-2.1856884918749486E-3</v>
      </c>
      <c r="E122" s="62"/>
      <c r="F122" s="14">
        <f>IF(IF(ResumenIndicadores!$F$11="Ft-1",B122,C122)=0,"",IF(ResumenIndicadores!$F$11="Ft-1",B122,C122))</f>
        <v>1.0523</v>
      </c>
      <c r="G122" s="105"/>
      <c r="H122" s="105"/>
      <c r="I122" s="105"/>
      <c r="J122" s="105"/>
      <c r="K122" s="3"/>
      <c r="L122" s="3"/>
      <c r="M122" s="250"/>
      <c r="N122" s="250"/>
      <c r="O122" s="250"/>
      <c r="P122" s="250"/>
      <c r="W122" s="250"/>
      <c r="X122" s="596" t="s">
        <v>479</v>
      </c>
      <c r="Y122" s="278"/>
      <c r="Z122" s="278"/>
      <c r="AA122" s="278"/>
      <c r="AB122" s="614">
        <f>AM122/BU122</f>
        <v>1.0499749371615812</v>
      </c>
      <c r="AH122" s="250"/>
      <c r="AI122" s="596" t="s">
        <v>479</v>
      </c>
      <c r="AJ122" s="278"/>
      <c r="AK122" s="278"/>
      <c r="AL122" s="278"/>
      <c r="AM122" s="614">
        <f>CZ90</f>
        <v>208.463032</v>
      </c>
      <c r="AR122" s="1"/>
      <c r="AT122" s="250"/>
      <c r="AU122" s="250"/>
      <c r="AV122" s="250"/>
      <c r="AW122" s="250"/>
      <c r="AX122" s="250"/>
      <c r="AY122" s="250"/>
      <c r="AZ122" s="250"/>
      <c r="BA122" s="250"/>
      <c r="BB122" s="250"/>
      <c r="BC122" s="250"/>
      <c r="BD122" s="250"/>
      <c r="BE122" s="250"/>
      <c r="BF122" s="250"/>
      <c r="BG122" s="250"/>
      <c r="BH122" s="250"/>
      <c r="BI122" s="250"/>
      <c r="BJ122" s="250"/>
      <c r="BK122" s="250"/>
      <c r="BL122" s="250"/>
      <c r="BM122" s="250"/>
      <c r="BN122" s="250"/>
      <c r="BO122" s="250"/>
      <c r="BP122" s="250"/>
      <c r="BQ122" s="596" t="s">
        <v>479</v>
      </c>
      <c r="BR122" s="278"/>
      <c r="BS122" s="278"/>
      <c r="BT122" s="278"/>
      <c r="BU122" s="614">
        <f>CZ89</f>
        <v>198.54096000000001</v>
      </c>
      <c r="BZ122" s="1"/>
      <c r="CB122" s="250"/>
      <c r="CC122" s="250"/>
      <c r="CD122" s="250"/>
      <c r="CE122" s="250"/>
      <c r="CF122" s="250"/>
      <c r="CG122" s="250"/>
      <c r="CH122" s="250"/>
      <c r="CI122" s="250"/>
      <c r="CJ122" s="250"/>
      <c r="CK122" s="250"/>
      <c r="CL122" s="250"/>
      <c r="CM122" s="250"/>
      <c r="CN122" s="250"/>
      <c r="CO122" s="250"/>
      <c r="CP122" s="250"/>
      <c r="CQ122" s="250"/>
      <c r="CR122" s="250"/>
      <c r="CS122" s="250"/>
      <c r="CT122" s="250"/>
      <c r="CU122" s="250"/>
      <c r="CV122" s="250"/>
      <c r="CW122" s="250"/>
      <c r="CX122" s="351" t="s">
        <v>451</v>
      </c>
      <c r="CY122" s="601" t="s">
        <v>306</v>
      </c>
      <c r="CZ122" s="649">
        <v>0</v>
      </c>
      <c r="DA122" s="567">
        <f>TA_VAD!D19</f>
        <v>0</v>
      </c>
      <c r="DB122" s="605">
        <v>7614900000</v>
      </c>
    </row>
    <row r="123" spans="1:129">
      <c r="A123" s="775" t="str">
        <f>Historico!A123</f>
        <v/>
      </c>
      <c r="B123" s="16"/>
      <c r="C123" s="55"/>
      <c r="D123" s="76"/>
      <c r="E123" s="62"/>
      <c r="F123" s="55" t="str">
        <f>IF(IF(ResumenIndicadores!$F$11="Ft-1",B123,C123)=0,"",IF(ResumenIndicadores!$F$11="Ft-1",B123,C123))</f>
        <v/>
      </c>
      <c r="G123" s="8"/>
      <c r="H123" s="8"/>
      <c r="I123" s="8"/>
      <c r="J123" s="8"/>
      <c r="L123" s="3"/>
      <c r="M123" s="250"/>
      <c r="N123" s="250"/>
      <c r="O123" s="250"/>
      <c r="P123" s="250"/>
      <c r="W123" s="250"/>
      <c r="X123" s="75" t="s">
        <v>477</v>
      </c>
      <c r="Y123" s="268"/>
      <c r="Z123" s="268"/>
      <c r="AA123" s="268"/>
      <c r="AB123" s="258" t="s">
        <v>441</v>
      </c>
      <c r="AH123" s="250"/>
      <c r="AI123" s="75" t="s">
        <v>477</v>
      </c>
      <c r="AJ123" s="268"/>
      <c r="AK123" s="268"/>
      <c r="AL123" s="268"/>
      <c r="AM123" s="258" t="s">
        <v>441</v>
      </c>
      <c r="AR123" s="1"/>
      <c r="AT123" s="250"/>
      <c r="AU123" s="250"/>
      <c r="AV123" s="250"/>
      <c r="AW123" s="250"/>
      <c r="AX123" s="250"/>
      <c r="AY123" s="250"/>
      <c r="AZ123" s="250"/>
      <c r="BA123" s="250"/>
      <c r="BB123" s="250"/>
      <c r="BC123" s="250"/>
      <c r="BD123" s="250"/>
      <c r="BE123" s="250"/>
      <c r="BF123" s="250"/>
      <c r="BG123" s="250"/>
      <c r="BH123" s="250"/>
      <c r="BI123" s="250"/>
      <c r="BJ123" s="250"/>
      <c r="BK123" s="250"/>
      <c r="BL123" s="250"/>
      <c r="BM123" s="250"/>
      <c r="BN123" s="250"/>
      <c r="BO123" s="250"/>
      <c r="BP123" s="250"/>
      <c r="BQ123" s="75" t="s">
        <v>477</v>
      </c>
      <c r="BR123" s="268"/>
      <c r="BS123" s="268"/>
      <c r="BT123" s="268"/>
      <c r="BU123" s="258" t="s">
        <v>441</v>
      </c>
      <c r="BZ123" s="1"/>
      <c r="CB123" s="250"/>
      <c r="CC123" s="250"/>
      <c r="CD123" s="250"/>
      <c r="CE123" s="250"/>
      <c r="CF123" s="250"/>
      <c r="CG123" s="250"/>
      <c r="CH123" s="250"/>
      <c r="CI123" s="250"/>
      <c r="CJ123" s="250"/>
      <c r="CK123" s="250"/>
      <c r="CL123" s="250"/>
      <c r="CM123" s="250"/>
      <c r="CN123" s="250"/>
      <c r="CO123" s="250"/>
      <c r="CP123" s="118"/>
      <c r="CQ123" s="250"/>
      <c r="CR123" s="250"/>
      <c r="CS123" s="250"/>
      <c r="CT123" s="250"/>
      <c r="CU123" s="250"/>
      <c r="CV123" s="250"/>
      <c r="CW123" s="250"/>
      <c r="CX123" s="75" t="s">
        <v>444</v>
      </c>
      <c r="CY123" s="268"/>
      <c r="CZ123" s="267"/>
      <c r="DY123" s="266"/>
    </row>
    <row r="124" spans="1:129">
      <c r="A124" s="784" t="str">
        <f>Historico!A124</f>
        <v>5. ENERGÍA REACTIVA (FACER)</v>
      </c>
      <c r="B124" s="17">
        <f>+Historico!N124</f>
        <v>0.82499999999999996</v>
      </c>
      <c r="C124" s="14">
        <f>ROUND(AB124,4)</f>
        <v>0.82079999999999997</v>
      </c>
      <c r="D124" s="77">
        <f t="shared" si="54"/>
        <v>-5.0909090909090349E-3</v>
      </c>
      <c r="E124" s="62"/>
      <c r="F124" s="14">
        <f>IF(IF(ResumenIndicadores!$F$11="Ft-1",B124,C124)=0,"",IF(ResumenIndicadores!$F$11="Ft-1",B124,C124))</f>
        <v>0.82499999999999996</v>
      </c>
      <c r="G124" s="8"/>
      <c r="H124" s="8"/>
      <c r="I124" s="8"/>
      <c r="J124" s="8"/>
      <c r="L124" s="3"/>
      <c r="M124" s="250"/>
      <c r="N124" s="250"/>
      <c r="O124" s="250"/>
      <c r="P124" s="250"/>
      <c r="Q124" s="250"/>
      <c r="R124" s="250"/>
      <c r="S124" s="250"/>
      <c r="T124" s="250"/>
      <c r="U124" s="250"/>
      <c r="W124" s="250"/>
      <c r="X124" s="596" t="s">
        <v>480</v>
      </c>
      <c r="Y124" s="278"/>
      <c r="Z124" s="278"/>
      <c r="AA124" s="278"/>
      <c r="AB124" s="614">
        <f>AM124/BU124</f>
        <v>0.82081476766390837</v>
      </c>
      <c r="AF124" s="252"/>
      <c r="AH124" s="250"/>
      <c r="AI124" s="596" t="s">
        <v>480</v>
      </c>
      <c r="AJ124" s="278"/>
      <c r="AK124" s="278"/>
      <c r="AL124" s="278"/>
      <c r="AM124" s="614">
        <f>DA90</f>
        <v>2.5790000000000002</v>
      </c>
      <c r="AQ124" s="252"/>
      <c r="AR124" s="1"/>
      <c r="AT124" s="250"/>
      <c r="AU124" s="250"/>
      <c r="AV124" s="250"/>
      <c r="AW124" s="250"/>
      <c r="AX124" s="250"/>
      <c r="AY124" s="250"/>
      <c r="AZ124" s="250"/>
      <c r="BA124" s="250"/>
      <c r="BB124" s="250"/>
      <c r="BC124" s="250"/>
      <c r="BD124" s="250"/>
      <c r="BE124" s="250"/>
      <c r="BF124" s="250"/>
      <c r="BG124" s="250"/>
      <c r="BH124" s="250"/>
      <c r="BI124" s="250"/>
      <c r="BJ124" s="250"/>
      <c r="BK124" s="250"/>
      <c r="BL124" s="250"/>
      <c r="BM124" s="250"/>
      <c r="BN124" s="250"/>
      <c r="BO124" s="250"/>
      <c r="BP124" s="250"/>
      <c r="BQ124" s="596" t="s">
        <v>480</v>
      </c>
      <c r="BR124" s="278"/>
      <c r="BS124" s="278"/>
      <c r="BT124" s="278"/>
      <c r="BU124" s="614">
        <f>DA89</f>
        <v>3.1419999999999999</v>
      </c>
      <c r="BY124" s="252"/>
      <c r="BZ124" s="1"/>
      <c r="CB124" s="250"/>
      <c r="CC124" s="250"/>
      <c r="CD124" s="250"/>
      <c r="CE124" s="250"/>
      <c r="CF124" s="250"/>
      <c r="CG124" s="250"/>
      <c r="CH124" s="250"/>
      <c r="CI124" s="250"/>
      <c r="CJ124" s="250"/>
      <c r="CK124" s="250"/>
      <c r="CL124" s="250"/>
      <c r="CM124" s="250"/>
      <c r="CN124" s="250"/>
      <c r="CO124" s="250"/>
      <c r="CP124" s="118"/>
      <c r="CQ124" s="250"/>
      <c r="CR124" s="250"/>
      <c r="CS124" s="250"/>
      <c r="CT124" s="250"/>
      <c r="CU124" s="250"/>
      <c r="CV124" s="250"/>
      <c r="CW124" s="250"/>
      <c r="CY124" s="260" t="s">
        <v>10</v>
      </c>
      <c r="CZ124" s="117" t="s">
        <v>0</v>
      </c>
    </row>
    <row r="125" spans="1:129">
      <c r="A125" s="775" t="str">
        <f>Historico!A125</f>
        <v/>
      </c>
      <c r="B125" s="16"/>
      <c r="C125" s="55"/>
      <c r="D125" s="76"/>
      <c r="E125" s="62"/>
      <c r="F125" s="55" t="str">
        <f>IF(IF(ResumenIndicadores!$F$11="Ft-1",B125,C125)=0,"",IF(ResumenIndicadores!$F$11="Ft-1",B125,C125))</f>
        <v/>
      </c>
      <c r="G125" s="107"/>
      <c r="H125" s="107"/>
      <c r="I125" s="107"/>
      <c r="J125" s="107"/>
      <c r="L125" s="3"/>
      <c r="M125" s="250"/>
      <c r="N125" s="250"/>
      <c r="O125" s="250"/>
      <c r="P125" s="250"/>
      <c r="Q125" s="250"/>
      <c r="R125" s="250"/>
      <c r="S125" s="250"/>
      <c r="T125" s="250"/>
      <c r="U125" s="250"/>
      <c r="W125" s="250"/>
      <c r="X125" s="75" t="s">
        <v>478</v>
      </c>
      <c r="Y125" s="268"/>
      <c r="Z125" s="268"/>
      <c r="AA125" s="268"/>
      <c r="AB125" s="258" t="s">
        <v>442</v>
      </c>
      <c r="AF125" s="252"/>
      <c r="AH125" s="250"/>
      <c r="AI125" s="75" t="s">
        <v>478</v>
      </c>
      <c r="AJ125" s="268"/>
      <c r="AK125" s="268"/>
      <c r="AL125" s="268"/>
      <c r="AM125" s="258" t="s">
        <v>442</v>
      </c>
      <c r="AQ125" s="252"/>
      <c r="AR125" s="1"/>
      <c r="AT125" s="250"/>
      <c r="AU125" s="250"/>
      <c r="AV125" s="250"/>
      <c r="AW125" s="250"/>
      <c r="AX125" s="250"/>
      <c r="AY125" s="250"/>
      <c r="AZ125" s="250"/>
      <c r="BA125" s="250"/>
      <c r="BB125" s="250"/>
      <c r="BC125" s="250"/>
      <c r="BD125" s="250"/>
      <c r="BE125" s="250"/>
      <c r="BF125" s="250"/>
      <c r="BG125" s="250"/>
      <c r="BH125" s="250"/>
      <c r="BI125" s="250"/>
      <c r="BJ125" s="250"/>
      <c r="BK125" s="250"/>
      <c r="BL125" s="250"/>
      <c r="BM125" s="250"/>
      <c r="BN125" s="250"/>
      <c r="BO125" s="250"/>
      <c r="BP125" s="250"/>
      <c r="BQ125" s="75" t="s">
        <v>478</v>
      </c>
      <c r="BR125" s="268"/>
      <c r="BS125" s="268"/>
      <c r="BT125" s="268"/>
      <c r="BU125" s="258" t="s">
        <v>442</v>
      </c>
      <c r="BY125" s="252"/>
      <c r="BZ125" s="1"/>
      <c r="CB125" s="250"/>
      <c r="CC125" s="250"/>
      <c r="CD125" s="250"/>
      <c r="CE125" s="250"/>
      <c r="CF125" s="250"/>
      <c r="CG125" s="250"/>
      <c r="CH125" s="250"/>
      <c r="CI125" s="250"/>
      <c r="CJ125" s="250"/>
      <c r="CK125" s="250"/>
      <c r="CL125" s="250"/>
      <c r="CM125" s="250"/>
      <c r="CN125" s="250"/>
      <c r="CO125" s="250"/>
      <c r="CP125" s="118"/>
      <c r="CQ125" s="250"/>
      <c r="CR125" s="250"/>
      <c r="CS125" s="250"/>
      <c r="CT125" s="250"/>
      <c r="CU125" s="250"/>
      <c r="CV125" s="250"/>
      <c r="CW125" s="250"/>
      <c r="CX125" s="243" t="s">
        <v>1</v>
      </c>
      <c r="CY125" s="271" t="s">
        <v>174</v>
      </c>
      <c r="CZ125" s="637">
        <v>172.30137199999999</v>
      </c>
      <c r="DY125" s="266"/>
    </row>
    <row r="126" spans="1:129">
      <c r="A126" s="784" t="str">
        <f>Historico!A126</f>
        <v>FACCSP (Cargo Comercial del Servicio Prepago) Res. N° 442-2006-OS/CD</v>
      </c>
      <c r="B126" s="17">
        <f>+Historico!N126</f>
        <v>1.2122999999999999</v>
      </c>
      <c r="C126" s="14">
        <f>ROUND(AB126,4)</f>
        <v>1.2125999999999999</v>
      </c>
      <c r="D126" s="77">
        <f t="shared" si="54"/>
        <v>2.4746349913384869E-4</v>
      </c>
      <c r="E126" s="62"/>
      <c r="F126" s="14">
        <f>IF(IF(ResumenIndicadores!$F$11="Ft-1",B126,C126)=0,"",IF(ResumenIndicadores!$F$11="Ft-1",B126,C126))</f>
        <v>1.2122999999999999</v>
      </c>
      <c r="G126" s="107"/>
      <c r="H126" s="107"/>
      <c r="I126" s="107"/>
      <c r="J126" s="107"/>
      <c r="Q126" s="250"/>
      <c r="R126" s="250"/>
      <c r="S126" s="250"/>
      <c r="T126" s="250"/>
      <c r="U126" s="250"/>
      <c r="W126" s="250"/>
      <c r="X126" s="596" t="s">
        <v>359</v>
      </c>
      <c r="Y126" s="278"/>
      <c r="Z126" s="278"/>
      <c r="AA126" s="278"/>
      <c r="AB126" s="614">
        <f>AM126/BU126</f>
        <v>1.2126090673265213</v>
      </c>
      <c r="AF126" s="252"/>
      <c r="AH126" s="250"/>
      <c r="AI126" s="596" t="s">
        <v>359</v>
      </c>
      <c r="AJ126" s="278"/>
      <c r="AK126" s="278"/>
      <c r="AL126" s="278"/>
      <c r="AM126" s="614">
        <f>CZ126</f>
        <v>208.93420599999999</v>
      </c>
      <c r="AQ126" s="252"/>
      <c r="AR126" s="1"/>
      <c r="AT126" s="250"/>
      <c r="AU126" s="250"/>
      <c r="AV126" s="250"/>
      <c r="AW126" s="250"/>
      <c r="AX126" s="250"/>
      <c r="AY126" s="250"/>
      <c r="AZ126" s="250"/>
      <c r="BA126" s="250"/>
      <c r="BB126" s="250"/>
      <c r="BC126" s="250"/>
      <c r="BD126" s="250"/>
      <c r="BE126" s="250"/>
      <c r="BF126" s="250"/>
      <c r="BG126" s="250"/>
      <c r="BH126" s="250"/>
      <c r="BI126" s="250"/>
      <c r="BJ126" s="250"/>
      <c r="BK126" s="250"/>
      <c r="BL126" s="250"/>
      <c r="BM126" s="250"/>
      <c r="BN126" s="250"/>
      <c r="BO126" s="250"/>
      <c r="BP126" s="250"/>
      <c r="BQ126" s="596" t="s">
        <v>359</v>
      </c>
      <c r="BR126" s="278"/>
      <c r="BS126" s="278"/>
      <c r="BT126" s="278"/>
      <c r="BU126" s="614">
        <f>CZ125</f>
        <v>172.30137199999999</v>
      </c>
      <c r="BY126" s="252"/>
      <c r="BZ126" s="1"/>
      <c r="CB126" s="250"/>
      <c r="CC126" s="250"/>
      <c r="CD126" s="250"/>
      <c r="CE126" s="250"/>
      <c r="CF126" s="250"/>
      <c r="CG126" s="250"/>
      <c r="CH126" s="250"/>
      <c r="CI126" s="250"/>
      <c r="CJ126" s="250"/>
      <c r="CK126" s="250"/>
      <c r="CL126" s="250"/>
      <c r="CM126" s="250"/>
      <c r="CN126" s="250"/>
      <c r="CO126" s="250"/>
      <c r="CP126" s="118"/>
      <c r="CQ126" s="250"/>
      <c r="CR126" s="250"/>
      <c r="CS126" s="250"/>
      <c r="CT126" s="250"/>
      <c r="CU126" s="250"/>
      <c r="CV126" s="250"/>
      <c r="CW126" s="250"/>
      <c r="CX126" s="49" t="s">
        <v>4</v>
      </c>
      <c r="CY126" s="273" t="s">
        <v>702</v>
      </c>
      <c r="CZ126" s="274">
        <f>'ALUMINIO-COBRE-TC-IPM'!I8</f>
        <v>208.93420599999999</v>
      </c>
    </row>
    <row r="127" spans="1:129">
      <c r="A127" s="775" t="str">
        <f>Historico!A127</f>
        <v/>
      </c>
      <c r="B127" s="114"/>
      <c r="C127" s="24"/>
      <c r="D127" s="115"/>
      <c r="E127" s="62"/>
      <c r="F127" s="24" t="str">
        <f>IF(IF(ResumenIndicadores!$F$11="Ft-1",B127,C127)=0,"",IF(ResumenIndicadores!$F$11="Ft-1",B127,C127))</f>
        <v/>
      </c>
      <c r="G127" s="107"/>
      <c r="H127" s="107"/>
      <c r="I127" s="107"/>
      <c r="J127" s="107"/>
      <c r="U127" s="250"/>
      <c r="W127" s="250"/>
      <c r="AF127" s="252"/>
      <c r="AH127" s="250"/>
      <c r="AQ127" s="252"/>
      <c r="AR127" s="1"/>
      <c r="AS127" s="252"/>
      <c r="AX127" s="250"/>
      <c r="AY127" s="250"/>
      <c r="AZ127" s="250"/>
      <c r="BA127" s="250"/>
      <c r="BB127" s="250"/>
      <c r="BC127" s="250"/>
      <c r="BD127" s="250"/>
      <c r="BE127" s="250"/>
      <c r="BF127" s="250"/>
      <c r="BG127" s="250"/>
      <c r="BH127" s="250"/>
      <c r="BI127" s="250"/>
      <c r="BJ127" s="250"/>
      <c r="BK127" s="250"/>
      <c r="BL127" s="250"/>
      <c r="BM127" s="250"/>
      <c r="BN127" s="250"/>
      <c r="BO127" s="250"/>
      <c r="BP127" s="250"/>
      <c r="BY127" s="252"/>
      <c r="BZ127" s="1"/>
      <c r="CA127" s="252"/>
      <c r="CF127" s="250"/>
      <c r="CG127" s="250"/>
      <c r="CH127" s="250"/>
      <c r="CI127" s="250"/>
      <c r="CJ127" s="250"/>
      <c r="CK127" s="250"/>
      <c r="CL127" s="250"/>
      <c r="CM127" s="250"/>
      <c r="CN127" s="250"/>
      <c r="CO127" s="250"/>
      <c r="CP127" s="118"/>
      <c r="CQ127" s="250"/>
      <c r="CR127" s="250"/>
      <c r="CS127" s="250"/>
      <c r="CT127" s="250"/>
      <c r="CU127" s="250"/>
      <c r="CV127" s="250"/>
      <c r="CW127" s="250"/>
      <c r="DE127" s="309" t="s">
        <v>703</v>
      </c>
      <c r="DG127" s="1"/>
      <c r="DH127" s="1"/>
      <c r="DI127" s="1"/>
      <c r="DY127" s="266"/>
    </row>
    <row r="128" spans="1:129">
      <c r="A128" s="785" t="str">
        <f>Historico!A128</f>
        <v>C.2 DISTRIBUCIÓN - PRESUPUESTOS DE CONEXIÓN - Res. Nº 153-2011-OS/CD</v>
      </c>
      <c r="B128" s="62" t="str">
        <f>+Historico!N128</f>
        <v/>
      </c>
      <c r="C128" s="62"/>
      <c r="D128" s="64"/>
      <c r="E128" s="62"/>
      <c r="F128" s="62" t="str">
        <f>IF(IF(ResumenIndicadores!$F$11="Ft-1",B128,C128)=0,"",IF(ResumenIndicadores!$F$11="Ft-1",B128,C128))</f>
        <v/>
      </c>
      <c r="G128" s="107"/>
      <c r="H128" s="107"/>
      <c r="I128" s="107"/>
      <c r="J128" s="107"/>
      <c r="M128" s="428" t="s">
        <v>446</v>
      </c>
      <c r="N128" s="250"/>
      <c r="P128" s="590"/>
      <c r="Q128" s="563" t="s">
        <v>406</v>
      </c>
      <c r="R128" s="559" t="s">
        <v>436</v>
      </c>
      <c r="S128" s="559" t="s">
        <v>434</v>
      </c>
      <c r="T128" s="559" t="s">
        <v>435</v>
      </c>
      <c r="W128" s="250"/>
      <c r="X128" s="428" t="s">
        <v>445</v>
      </c>
      <c r="Y128" s="250"/>
      <c r="AA128" s="590"/>
      <c r="AB128" s="563" t="s">
        <v>406</v>
      </c>
      <c r="AC128" s="559" t="s">
        <v>436</v>
      </c>
      <c r="AD128" s="559" t="s">
        <v>434</v>
      </c>
      <c r="AE128" s="559" t="s">
        <v>435</v>
      </c>
      <c r="AH128" s="250"/>
      <c r="AI128" s="428" t="s">
        <v>447</v>
      </c>
      <c r="AJ128" s="250"/>
      <c r="AL128" s="590"/>
      <c r="AM128" s="563" t="s">
        <v>406</v>
      </c>
      <c r="AN128" s="559" t="s">
        <v>436</v>
      </c>
      <c r="AO128" s="559" t="s">
        <v>434</v>
      </c>
      <c r="AP128" s="559" t="s">
        <v>435</v>
      </c>
      <c r="AR128" s="1"/>
      <c r="AS128" s="253" t="s">
        <v>580</v>
      </c>
      <c r="AT128" s="620" t="s">
        <v>387</v>
      </c>
      <c r="AU128" s="284"/>
      <c r="AV128" s="620" t="s">
        <v>491</v>
      </c>
      <c r="AW128" s="606"/>
      <c r="AX128" s="250"/>
      <c r="AY128" s="250"/>
      <c r="AZ128" s="250"/>
      <c r="BA128" s="250"/>
      <c r="BB128" s="250"/>
      <c r="BC128" s="250"/>
      <c r="BD128" s="250"/>
      <c r="BE128" s="250"/>
      <c r="BF128" s="250"/>
      <c r="BG128" s="250"/>
      <c r="BH128" s="250"/>
      <c r="BI128" s="250"/>
      <c r="BJ128" s="250"/>
      <c r="BK128" s="250"/>
      <c r="BL128" s="250"/>
      <c r="BM128" s="250"/>
      <c r="BN128" s="250"/>
      <c r="BO128" s="250"/>
      <c r="BP128" s="250"/>
      <c r="BQ128" s="428" t="s">
        <v>448</v>
      </c>
      <c r="BR128" s="250"/>
      <c r="BT128" s="590"/>
      <c r="BU128" s="563" t="s">
        <v>406</v>
      </c>
      <c r="BV128" s="559" t="s">
        <v>436</v>
      </c>
      <c r="BW128" s="559" t="s">
        <v>434</v>
      </c>
      <c r="BX128" s="559" t="s">
        <v>435</v>
      </c>
      <c r="BZ128" s="1"/>
      <c r="CA128" s="253" t="s">
        <v>580</v>
      </c>
      <c r="CB128" s="620" t="s">
        <v>387</v>
      </c>
      <c r="CC128" s="284"/>
      <c r="CD128" s="620" t="s">
        <v>491</v>
      </c>
      <c r="CE128" s="606"/>
      <c r="CF128" s="250"/>
      <c r="CG128" s="250"/>
      <c r="CH128" s="250"/>
      <c r="CI128" s="250"/>
      <c r="CJ128" s="250"/>
      <c r="CK128" s="250"/>
      <c r="CL128" s="250"/>
      <c r="CM128" s="250"/>
      <c r="CN128" s="250"/>
      <c r="CO128" s="250"/>
      <c r="CP128" s="118"/>
      <c r="CQ128" s="250"/>
      <c r="CR128" s="250"/>
      <c r="CS128" s="250"/>
      <c r="CT128" s="250"/>
      <c r="CU128" s="250"/>
      <c r="CV128" s="250"/>
      <c r="CW128" s="250"/>
      <c r="CX128" s="428" t="s">
        <v>449</v>
      </c>
      <c r="DE128" s="226" t="s">
        <v>453</v>
      </c>
      <c r="DF128" s="226" t="s">
        <v>101</v>
      </c>
      <c r="DG128" s="1"/>
      <c r="DH128" s="1"/>
      <c r="DI128" s="1"/>
      <c r="DX128" s="250"/>
      <c r="DY128" s="266"/>
    </row>
    <row r="129" spans="1:129">
      <c r="A129" s="785" t="str">
        <f>Historico!A129</f>
        <v>1. PRESUPUESTOS Y CARGOS DE REPOSICIÓN DE LA CONEXIÓN</v>
      </c>
      <c r="B129" s="62" t="str">
        <f>+Historico!N129</f>
        <v/>
      </c>
      <c r="C129" s="62"/>
      <c r="D129" s="64"/>
      <c r="E129" s="62"/>
      <c r="F129" s="62" t="str">
        <f>IF(IF(ResumenIndicadores!$F$11="Ft-1",B129,C129)=0,"",IF(ResumenIndicadores!$F$11="Ft-1",B129,C129))</f>
        <v/>
      </c>
      <c r="G129" s="107"/>
      <c r="H129" s="107"/>
      <c r="I129" s="107"/>
      <c r="J129" s="107"/>
      <c r="M129" s="331" t="s">
        <v>405</v>
      </c>
      <c r="N129" s="283"/>
      <c r="O129" s="283"/>
      <c r="P129" s="283"/>
      <c r="Q129" s="607" t="s">
        <v>308</v>
      </c>
      <c r="R129" s="607" t="s">
        <v>309</v>
      </c>
      <c r="S129" s="608" t="s">
        <v>310</v>
      </c>
      <c r="T129" s="608" t="s">
        <v>311</v>
      </c>
      <c r="V129" s="250"/>
      <c r="W129" s="250"/>
      <c r="X129" s="580" t="s">
        <v>405</v>
      </c>
      <c r="Y129" s="278"/>
      <c r="Z129" s="278"/>
      <c r="AA129" s="278"/>
      <c r="AB129" s="270" t="s">
        <v>308</v>
      </c>
      <c r="AC129" s="270" t="s">
        <v>309</v>
      </c>
      <c r="AD129" s="270" t="s">
        <v>310</v>
      </c>
      <c r="AE129" s="270" t="s">
        <v>311</v>
      </c>
      <c r="AG129" s="252"/>
      <c r="AH129" s="250"/>
      <c r="AI129" s="580" t="s">
        <v>405</v>
      </c>
      <c r="AJ129" s="278"/>
      <c r="AK129" s="278"/>
      <c r="AL129" s="278"/>
      <c r="AM129" s="270" t="s">
        <v>308</v>
      </c>
      <c r="AN129" s="270" t="s">
        <v>309</v>
      </c>
      <c r="AO129" s="270" t="s">
        <v>310</v>
      </c>
      <c r="AP129" s="270" t="s">
        <v>311</v>
      </c>
      <c r="AR129" s="1"/>
      <c r="AS129" s="350" t="s">
        <v>579</v>
      </c>
      <c r="AT129" s="633" t="s">
        <v>453</v>
      </c>
      <c r="AU129" s="633" t="s">
        <v>101</v>
      </c>
      <c r="AV129" s="633" t="s">
        <v>453</v>
      </c>
      <c r="AW129" s="633" t="s">
        <v>101</v>
      </c>
      <c r="AX129" s="250"/>
      <c r="AY129" s="250"/>
      <c r="AZ129" s="250"/>
      <c r="BA129" s="250"/>
      <c r="BB129" s="250"/>
      <c r="BC129" s="250"/>
      <c r="BD129" s="250"/>
      <c r="BE129" s="250"/>
      <c r="BF129" s="250"/>
      <c r="BG129" s="250"/>
      <c r="BH129" s="250"/>
      <c r="BI129" s="250"/>
      <c r="BJ129" s="250"/>
      <c r="BK129" s="250"/>
      <c r="BL129" s="250"/>
      <c r="BM129" s="250"/>
      <c r="BN129" s="250"/>
      <c r="BO129" s="250"/>
      <c r="BP129" s="250"/>
      <c r="BQ129" s="580" t="s">
        <v>405</v>
      </c>
      <c r="BR129" s="278"/>
      <c r="BS129" s="278"/>
      <c r="BT129" s="278"/>
      <c r="BU129" s="270" t="s">
        <v>308</v>
      </c>
      <c r="BV129" s="270" t="s">
        <v>309</v>
      </c>
      <c r="BW129" s="270" t="s">
        <v>310</v>
      </c>
      <c r="BX129" s="270" t="s">
        <v>311</v>
      </c>
      <c r="BZ129" s="1"/>
      <c r="CA129" s="350" t="s">
        <v>579</v>
      </c>
      <c r="CB129" s="633" t="s">
        <v>453</v>
      </c>
      <c r="CC129" s="633" t="s">
        <v>101</v>
      </c>
      <c r="CD129" s="633" t="s">
        <v>453</v>
      </c>
      <c r="CE129" s="633" t="s">
        <v>101</v>
      </c>
      <c r="CF129" s="250"/>
      <c r="CG129" s="250"/>
      <c r="CH129" s="250"/>
      <c r="CI129" s="250"/>
      <c r="CJ129" s="250"/>
      <c r="CK129" s="250"/>
      <c r="CL129" s="250"/>
      <c r="CM129" s="250"/>
      <c r="CN129" s="250"/>
      <c r="CO129" s="250"/>
      <c r="CP129" s="118"/>
      <c r="CQ129" s="250"/>
      <c r="CR129" s="250"/>
      <c r="CS129" s="250"/>
      <c r="CT129" s="250"/>
      <c r="CU129" s="250"/>
      <c r="CV129" s="250"/>
      <c r="CW129" s="250"/>
      <c r="CX129" s="591" t="s">
        <v>388</v>
      </c>
      <c r="CY129" s="353"/>
      <c r="CZ129" s="353"/>
      <c r="DA129" s="250"/>
      <c r="DB129" s="250"/>
      <c r="DG129" s="1"/>
      <c r="DH129" s="1"/>
      <c r="DI129" s="1"/>
      <c r="DX129" s="250"/>
      <c r="DY129" s="266"/>
    </row>
    <row r="130" spans="1:129">
      <c r="A130" s="786" t="str">
        <f>Historico!A130</f>
        <v>Para conexiones</v>
      </c>
      <c r="B130" s="62" t="str">
        <f>+Historico!N130</f>
        <v/>
      </c>
      <c r="C130" s="62"/>
      <c r="D130" s="64"/>
      <c r="F130" s="62" t="str">
        <f>IF(IF(ResumenIndicadores!$F$11="Ft-1",B130,C130)=0,"",IF(ResumenIndicadores!$F$11="Ft-1",B130,C130))</f>
        <v/>
      </c>
      <c r="G130" s="107"/>
      <c r="H130" s="107"/>
      <c r="I130" s="107"/>
      <c r="J130" s="107"/>
      <c r="M130" s="617" t="s">
        <v>294</v>
      </c>
      <c r="N130" s="278"/>
      <c r="O130" s="278"/>
      <c r="P130" s="278"/>
      <c r="Q130" s="284"/>
      <c r="R130" s="284"/>
      <c r="S130" s="284"/>
      <c r="T130" s="284"/>
      <c r="V130" s="354"/>
      <c r="W130" s="250"/>
      <c r="X130" s="619" t="s">
        <v>294</v>
      </c>
      <c r="Y130" s="268"/>
      <c r="Z130" s="268"/>
      <c r="AA130" s="268"/>
      <c r="AB130" s="616"/>
      <c r="AC130" s="616"/>
      <c r="AD130" s="616"/>
      <c r="AE130" s="616"/>
      <c r="AG130" s="353"/>
      <c r="AH130" s="250"/>
      <c r="AI130" s="619" t="s">
        <v>294</v>
      </c>
      <c r="AJ130" s="268"/>
      <c r="AK130" s="268"/>
      <c r="AL130" s="268"/>
      <c r="AM130" s="616"/>
      <c r="AN130" s="616"/>
      <c r="AO130" s="616"/>
      <c r="AP130" s="616"/>
      <c r="AR130" s="1"/>
      <c r="AS130" s="634"/>
      <c r="AT130" s="634"/>
      <c r="AU130" s="634"/>
      <c r="AV130" s="634"/>
      <c r="AW130" s="634"/>
      <c r="AX130" s="250"/>
      <c r="AY130" s="250"/>
      <c r="AZ130" s="250"/>
      <c r="BA130" s="250"/>
      <c r="BB130" s="250"/>
      <c r="BC130" s="250"/>
      <c r="BD130" s="250"/>
      <c r="BE130" s="250"/>
      <c r="BF130" s="250"/>
      <c r="BG130" s="250"/>
      <c r="BH130" s="250"/>
      <c r="BI130" s="250"/>
      <c r="BJ130" s="250"/>
      <c r="BK130" s="250"/>
      <c r="BL130" s="250"/>
      <c r="BM130" s="250"/>
      <c r="BN130" s="250"/>
      <c r="BO130" s="250"/>
      <c r="BP130" s="250"/>
      <c r="BQ130" s="619" t="s">
        <v>294</v>
      </c>
      <c r="BR130" s="268"/>
      <c r="BS130" s="268"/>
      <c r="BT130" s="268"/>
      <c r="BU130" s="616"/>
      <c r="BV130" s="616"/>
      <c r="BW130" s="616"/>
      <c r="BX130" s="616"/>
      <c r="BZ130" s="1"/>
      <c r="CA130" s="634"/>
      <c r="CB130" s="634"/>
      <c r="CC130" s="634"/>
      <c r="CD130" s="634"/>
      <c r="CE130" s="634"/>
      <c r="CF130" s="250"/>
      <c r="CG130" s="250"/>
      <c r="CH130" s="250"/>
      <c r="CI130" s="250"/>
      <c r="CJ130" s="250"/>
      <c r="CK130" s="250"/>
      <c r="CL130" s="250"/>
      <c r="CM130" s="250"/>
      <c r="CN130" s="250"/>
      <c r="CO130" s="250"/>
      <c r="CP130" s="118"/>
      <c r="CQ130" s="250"/>
      <c r="CR130" s="250"/>
      <c r="CS130" s="250"/>
      <c r="CT130" s="250"/>
      <c r="CU130" s="250"/>
      <c r="CV130" s="250"/>
      <c r="CW130" s="250"/>
      <c r="CY130" s="260" t="s">
        <v>10</v>
      </c>
      <c r="CZ130" s="654" t="s">
        <v>307</v>
      </c>
      <c r="DA130" s="655" t="s">
        <v>0</v>
      </c>
      <c r="DB130" s="655" t="s">
        <v>86</v>
      </c>
      <c r="DC130" s="656" t="s">
        <v>182</v>
      </c>
      <c r="DE130" s="634"/>
      <c r="DF130" s="634"/>
      <c r="DG130" s="1"/>
      <c r="DH130" s="1"/>
      <c r="DI130" s="1"/>
      <c r="DX130" s="250"/>
      <c r="DY130" s="266"/>
    </row>
    <row r="131" spans="1:129">
      <c r="A131" s="787" t="str">
        <f>Historico!A131</f>
        <v>a) Conexiones en Baja Tensión - C1/C2</v>
      </c>
      <c r="B131" s="16">
        <f>+Historico!N131</f>
        <v>0.9788</v>
      </c>
      <c r="C131" s="55">
        <f t="shared" ref="C131:C142" si="60">ROUND(Q131*AB131+R131*AC131+S131*AD131+T131*AE131,4)</f>
        <v>0.97560000000000002</v>
      </c>
      <c r="D131" s="28">
        <f>+C131/B131-1</f>
        <v>-3.269309358397976E-3</v>
      </c>
      <c r="F131" s="55">
        <f>IF(IF(ResumenIndicadores!$F$11="Ft-1",B131,C131)=0,"",IF(ResumenIndicadores!$F$11="Ft-1",B131,C131))</f>
        <v>0.9788</v>
      </c>
      <c r="G131" s="107"/>
      <c r="H131" s="107"/>
      <c r="I131" s="107"/>
      <c r="J131" s="107"/>
      <c r="M131" s="355" t="s">
        <v>312</v>
      </c>
      <c r="N131" s="286" t="s">
        <v>295</v>
      </c>
      <c r="O131" s="250"/>
      <c r="P131" s="250"/>
      <c r="Q131" s="576">
        <v>0.3</v>
      </c>
      <c r="R131" s="576">
        <v>0.56000000000000005</v>
      </c>
      <c r="S131" s="576">
        <v>0.12</v>
      </c>
      <c r="T131" s="576">
        <v>0.02</v>
      </c>
      <c r="V131" s="250"/>
      <c r="W131" s="250"/>
      <c r="X131" s="355" t="s">
        <v>312</v>
      </c>
      <c r="Y131" s="286" t="s">
        <v>295</v>
      </c>
      <c r="Z131" s="250"/>
      <c r="AA131" s="250"/>
      <c r="AB131" s="611">
        <f t="shared" ref="AB131:AE132" si="61">AM131/BU131</f>
        <v>1.0767918046250586</v>
      </c>
      <c r="AC131" s="611">
        <f t="shared" si="61"/>
        <v>0.925035868005739</v>
      </c>
      <c r="AD131" s="611">
        <f t="shared" si="61"/>
        <v>0.9694846825951835</v>
      </c>
      <c r="AE131" s="611">
        <f t="shared" si="61"/>
        <v>0.90943325850143508</v>
      </c>
      <c r="AG131" s="252"/>
      <c r="AH131" s="250"/>
      <c r="AI131" s="355" t="s">
        <v>312</v>
      </c>
      <c r="AJ131" s="286" t="s">
        <v>295</v>
      </c>
      <c r="AK131" s="250"/>
      <c r="AL131" s="250"/>
      <c r="AM131" s="611">
        <f>DA132</f>
        <v>208.463032</v>
      </c>
      <c r="AN131" s="611">
        <f>CZ132*(1+AS131)</f>
        <v>2.5790000000000002</v>
      </c>
      <c r="AO131" s="611">
        <f>DB132*CZ132*(1+DA136)</f>
        <v>924.80790833333344</v>
      </c>
      <c r="AP131" s="611">
        <f>DC132*CZ132*(1+DA137)</f>
        <v>5223.180554884616</v>
      </c>
      <c r="AR131" s="1"/>
      <c r="AS131" s="635">
        <f>AT131*AV131+AU131*AW131</f>
        <v>0</v>
      </c>
      <c r="AT131" s="611">
        <f t="shared" ref="AT131:AU135" si="62">DE131</f>
        <v>0.98</v>
      </c>
      <c r="AU131" s="611">
        <f t="shared" si="62"/>
        <v>2.0000000000000018E-2</v>
      </c>
      <c r="AV131" s="611">
        <f>DA134</f>
        <v>0</v>
      </c>
      <c r="AW131" s="611">
        <f>DA135</f>
        <v>0</v>
      </c>
      <c r="AX131" s="250"/>
      <c r="AY131" s="250"/>
      <c r="AZ131" s="250"/>
      <c r="BA131" s="250"/>
      <c r="BB131" s="250"/>
      <c r="BC131" s="250"/>
      <c r="BD131" s="250"/>
      <c r="BE131" s="250"/>
      <c r="BF131" s="250"/>
      <c r="BG131" s="250"/>
      <c r="BH131" s="250"/>
      <c r="BI131" s="250"/>
      <c r="BJ131" s="250"/>
      <c r="BK131" s="250"/>
      <c r="BL131" s="250"/>
      <c r="BM131" s="250"/>
      <c r="BN131" s="250"/>
      <c r="BO131" s="250"/>
      <c r="BP131" s="250"/>
      <c r="BQ131" s="355" t="s">
        <v>312</v>
      </c>
      <c r="BR131" s="286" t="s">
        <v>295</v>
      </c>
      <c r="BS131" s="250"/>
      <c r="BT131" s="250"/>
      <c r="BU131" s="611">
        <f>DA131</f>
        <v>193.59641400000001</v>
      </c>
      <c r="BV131" s="611">
        <f>CZ131*(1+CA131)</f>
        <v>2.7879999999999998</v>
      </c>
      <c r="BW131" s="611">
        <f>DB131*CZ131*(1+CZ136)</f>
        <v>953.91698799999995</v>
      </c>
      <c r="BX131" s="611">
        <f>DC131*CZ131*(1+DA137)</f>
        <v>5743.3357599999999</v>
      </c>
      <c r="BZ131" s="1"/>
      <c r="CA131" s="635">
        <f>CB131*CD131+CC131*CE131</f>
        <v>0</v>
      </c>
      <c r="CB131" s="611">
        <f t="shared" ref="CB131:CC135" si="63">DE131</f>
        <v>0.98</v>
      </c>
      <c r="CC131" s="611">
        <f t="shared" si="63"/>
        <v>2.0000000000000018E-2</v>
      </c>
      <c r="CD131" s="611">
        <f>CZ134</f>
        <v>0</v>
      </c>
      <c r="CE131" s="611">
        <f>CZ135</f>
        <v>0</v>
      </c>
      <c r="CF131" s="250"/>
      <c r="CG131" s="250"/>
      <c r="CH131" s="250"/>
      <c r="CI131" s="250"/>
      <c r="CJ131" s="250"/>
      <c r="CK131" s="250"/>
      <c r="CL131" s="250"/>
      <c r="CM131" s="250"/>
      <c r="CN131" s="250"/>
      <c r="CO131" s="250"/>
      <c r="CP131" s="118"/>
      <c r="CQ131" s="250"/>
      <c r="CR131" s="250"/>
      <c r="CS131" s="250"/>
      <c r="CT131" s="250"/>
      <c r="CU131" s="250"/>
      <c r="CV131" s="250"/>
      <c r="CW131" s="250"/>
      <c r="CX131" s="243" t="s">
        <v>1</v>
      </c>
      <c r="CY131" s="271" t="s">
        <v>174</v>
      </c>
      <c r="CZ131" s="650">
        <v>2.7879999999999998</v>
      </c>
      <c r="DA131" s="651">
        <v>193.59641400000001</v>
      </c>
      <c r="DB131" s="652">
        <v>313.89999999999998</v>
      </c>
      <c r="DC131" s="653">
        <v>2060.02</v>
      </c>
      <c r="DD131" s="670" t="s">
        <v>312</v>
      </c>
      <c r="DE131" s="576">
        <v>0.98</v>
      </c>
      <c r="DF131" s="576">
        <v>2.0000000000000018E-2</v>
      </c>
      <c r="DG131" s="1"/>
      <c r="DH131" s="1"/>
      <c r="DI131" s="1"/>
      <c r="DX131" s="250"/>
    </row>
    <row r="132" spans="1:129">
      <c r="A132" s="787" t="str">
        <f>Historico!A132</f>
        <v>b) Conexiones en Baja Tensión - C3/C4</v>
      </c>
      <c r="B132" s="16">
        <f>+Historico!N132</f>
        <v>0.98329999999999995</v>
      </c>
      <c r="C132" s="55">
        <f t="shared" si="60"/>
        <v>0.98050000000000004</v>
      </c>
      <c r="D132" s="28">
        <f>+C132/B132-1</f>
        <v>-2.8475541543779848E-3</v>
      </c>
      <c r="F132" s="55">
        <f>IF(IF(ResumenIndicadores!$F$11="Ft-1",B132,C132)=0,"",IF(ResumenIndicadores!$F$11="Ft-1",B132,C132))</f>
        <v>0.98329999999999995</v>
      </c>
      <c r="G132" s="107"/>
      <c r="H132" s="107"/>
      <c r="I132" s="107"/>
      <c r="J132" s="107"/>
      <c r="M132" s="355" t="s">
        <v>313</v>
      </c>
      <c r="N132" s="286" t="s">
        <v>296</v>
      </c>
      <c r="O132" s="250"/>
      <c r="P132" s="250"/>
      <c r="Q132" s="576">
        <v>0.31</v>
      </c>
      <c r="R132" s="576">
        <v>0.42</v>
      </c>
      <c r="S132" s="576">
        <v>0.21</v>
      </c>
      <c r="T132" s="576">
        <v>0.06</v>
      </c>
      <c r="V132" s="354"/>
      <c r="W132" s="250"/>
      <c r="X132" s="355" t="s">
        <v>313</v>
      </c>
      <c r="Y132" s="286" t="s">
        <v>296</v>
      </c>
      <c r="Z132" s="250"/>
      <c r="AA132" s="250"/>
      <c r="AB132" s="611">
        <f t="shared" si="61"/>
        <v>1.0767918046250586</v>
      </c>
      <c r="AC132" s="611">
        <f t="shared" si="61"/>
        <v>0.925035868005739</v>
      </c>
      <c r="AD132" s="611">
        <f t="shared" si="61"/>
        <v>0.9694846825951835</v>
      </c>
      <c r="AE132" s="611">
        <f t="shared" si="61"/>
        <v>0.90943325850143508</v>
      </c>
      <c r="AG132" s="353"/>
      <c r="AH132" s="250"/>
      <c r="AI132" s="355" t="s">
        <v>313</v>
      </c>
      <c r="AJ132" s="286" t="s">
        <v>296</v>
      </c>
      <c r="AK132" s="250"/>
      <c r="AL132" s="250"/>
      <c r="AM132" s="611">
        <f>DA132</f>
        <v>208.463032</v>
      </c>
      <c r="AN132" s="611">
        <f>CZ132*(1+AS132)</f>
        <v>2.5790000000000002</v>
      </c>
      <c r="AO132" s="611">
        <f>DB132*CZ132*(1+DA136)</f>
        <v>924.80790833333344</v>
      </c>
      <c r="AP132" s="611">
        <f>DC132*CZ132*(1+DA137)</f>
        <v>5223.180554884616</v>
      </c>
      <c r="AR132" s="1"/>
      <c r="AS132" s="635">
        <f>AT132*AV132+AU132*AW132</f>
        <v>0</v>
      </c>
      <c r="AT132" s="611">
        <f t="shared" si="62"/>
        <v>0.92</v>
      </c>
      <c r="AU132" s="611">
        <f t="shared" si="62"/>
        <v>7.999999999999996E-2</v>
      </c>
      <c r="AV132" s="611">
        <f>DA134</f>
        <v>0</v>
      </c>
      <c r="AW132" s="611">
        <f>DA135</f>
        <v>0</v>
      </c>
      <c r="AX132" s="250"/>
      <c r="AY132" s="250"/>
      <c r="AZ132" s="250"/>
      <c r="BA132" s="250"/>
      <c r="BB132" s="250"/>
      <c r="BC132" s="250"/>
      <c r="BD132" s="250"/>
      <c r="BE132" s="250"/>
      <c r="BF132" s="250"/>
      <c r="BG132" s="250"/>
      <c r="BH132" s="250"/>
      <c r="BI132" s="250"/>
      <c r="BJ132" s="250"/>
      <c r="BK132" s="250"/>
      <c r="BL132" s="250"/>
      <c r="BM132" s="250"/>
      <c r="BN132" s="250"/>
      <c r="BO132" s="250"/>
      <c r="BP132" s="250"/>
      <c r="BQ132" s="355" t="s">
        <v>313</v>
      </c>
      <c r="BR132" s="286" t="s">
        <v>296</v>
      </c>
      <c r="BS132" s="250"/>
      <c r="BT132" s="250"/>
      <c r="BU132" s="611">
        <f>DA131</f>
        <v>193.59641400000001</v>
      </c>
      <c r="BV132" s="611">
        <f>CZ131*(1+CA132)</f>
        <v>2.7879999999999998</v>
      </c>
      <c r="BW132" s="611">
        <f>DB131*CZ131*(1+CZ136)</f>
        <v>953.91698799999995</v>
      </c>
      <c r="BX132" s="611">
        <f>DC131*CZ131*(1+DA137)</f>
        <v>5743.3357599999999</v>
      </c>
      <c r="BZ132" s="1"/>
      <c r="CA132" s="635">
        <f>CB132*CD132+CC132*CE132</f>
        <v>0</v>
      </c>
      <c r="CB132" s="611">
        <f t="shared" si="63"/>
        <v>0.92</v>
      </c>
      <c r="CC132" s="611">
        <f t="shared" si="63"/>
        <v>7.999999999999996E-2</v>
      </c>
      <c r="CD132" s="611">
        <f>CZ134</f>
        <v>0</v>
      </c>
      <c r="CE132" s="611">
        <f>CZ135</f>
        <v>0</v>
      </c>
      <c r="CF132" s="250"/>
      <c r="CG132" s="250"/>
      <c r="CH132" s="250"/>
      <c r="CI132" s="250"/>
      <c r="CJ132" s="250"/>
      <c r="CK132" s="250"/>
      <c r="CL132" s="250"/>
      <c r="CM132" s="250"/>
      <c r="CN132" s="250"/>
      <c r="CO132" s="250"/>
      <c r="CP132" s="118"/>
      <c r="CQ132" s="250"/>
      <c r="CR132" s="250"/>
      <c r="CS132" s="250"/>
      <c r="CT132" s="250"/>
      <c r="CU132" s="250"/>
      <c r="CV132" s="250"/>
      <c r="CW132" s="250"/>
      <c r="CX132" s="49" t="s">
        <v>4</v>
      </c>
      <c r="CY132" s="273" t="s">
        <v>700</v>
      </c>
      <c r="CZ132" s="434">
        <f>+'ALUMINIO-COBRE-TC-IPM'!G8</f>
        <v>2.5790000000000002</v>
      </c>
      <c r="DA132" s="564">
        <f>+'ALUMINIO-COBRE-TC-IPM'!H8</f>
        <v>208.463032</v>
      </c>
      <c r="DB132" s="564">
        <f>+'ALUMINIO-COBRE-TC-IPM'!F8</f>
        <v>358.5916666666667</v>
      </c>
      <c r="DC132" s="434">
        <f>+'ALUMINIO-COBRE-TC-IPM'!E8</f>
        <v>2025.2735769230769</v>
      </c>
      <c r="DD132" s="670" t="s">
        <v>313</v>
      </c>
      <c r="DE132" s="576">
        <v>0.92</v>
      </c>
      <c r="DF132" s="576">
        <v>7.999999999999996E-2</v>
      </c>
      <c r="DG132" s="1"/>
      <c r="DH132" s="1"/>
      <c r="DI132" s="1"/>
      <c r="DX132" s="250"/>
    </row>
    <row r="133" spans="1:129">
      <c r="A133" s="787" t="str">
        <f>Historico!A133</f>
        <v>c) Conexiones Básicas en Media Tensión (PMI y Celda) - C5</v>
      </c>
      <c r="B133" s="16">
        <f>+Historico!N133</f>
        <v>0.95509999999999995</v>
      </c>
      <c r="C133" s="55">
        <f t="shared" si="60"/>
        <v>0.95079999999999998</v>
      </c>
      <c r="D133" s="28">
        <f>+C133/B133-1</f>
        <v>-4.5021463721075516E-3</v>
      </c>
      <c r="F133" s="55">
        <f>IF(IF(ResumenIndicadores!$F$11="Ft-1",B133,C133)=0,"",IF(ResumenIndicadores!$F$11="Ft-1",B133,C133))</f>
        <v>0.95509999999999995</v>
      </c>
      <c r="G133" s="107"/>
      <c r="H133" s="107"/>
      <c r="I133" s="107"/>
      <c r="J133" s="107"/>
      <c r="M133" s="355" t="s">
        <v>314</v>
      </c>
      <c r="N133" s="286" t="s">
        <v>297</v>
      </c>
      <c r="O133" s="250"/>
      <c r="P133" s="250"/>
      <c r="Q133" s="576">
        <v>0.17</v>
      </c>
      <c r="R133" s="576">
        <v>0.83</v>
      </c>
      <c r="S133" s="576">
        <v>0</v>
      </c>
      <c r="T133" s="576">
        <v>0</v>
      </c>
      <c r="V133" s="250"/>
      <c r="W133" s="250"/>
      <c r="X133" s="355" t="s">
        <v>314</v>
      </c>
      <c r="Y133" s="286" t="s">
        <v>297</v>
      </c>
      <c r="Z133" s="250"/>
      <c r="AA133" s="250"/>
      <c r="AB133" s="611">
        <f>AM133/BU133</f>
        <v>1.0767918046250586</v>
      </c>
      <c r="AC133" s="611">
        <f>AN133/BV133</f>
        <v>0.925035868005739</v>
      </c>
      <c r="AD133" s="611">
        <v>0</v>
      </c>
      <c r="AE133" s="611">
        <v>0</v>
      </c>
      <c r="AG133" s="252"/>
      <c r="AH133" s="250"/>
      <c r="AI133" s="355" t="s">
        <v>314</v>
      </c>
      <c r="AJ133" s="286" t="s">
        <v>297</v>
      </c>
      <c r="AK133" s="250"/>
      <c r="AL133" s="250"/>
      <c r="AM133" s="611">
        <f>DA132</f>
        <v>208.463032</v>
      </c>
      <c r="AN133" s="611">
        <f>CZ132*(1+AS133)</f>
        <v>2.5790000000000002</v>
      </c>
      <c r="AO133" s="611">
        <v>0</v>
      </c>
      <c r="AP133" s="611">
        <v>0</v>
      </c>
      <c r="AR133" s="1"/>
      <c r="AS133" s="635">
        <f>AT133*AV133+AU133*AW133</f>
        <v>0</v>
      </c>
      <c r="AT133" s="611">
        <f t="shared" si="62"/>
        <v>1</v>
      </c>
      <c r="AU133" s="611">
        <f t="shared" si="62"/>
        <v>0</v>
      </c>
      <c r="AV133" s="611">
        <f>DA134</f>
        <v>0</v>
      </c>
      <c r="AW133" s="611">
        <f>DA135</f>
        <v>0</v>
      </c>
      <c r="AX133" s="250"/>
      <c r="AY133" s="250"/>
      <c r="AZ133" s="250"/>
      <c r="BA133" s="250"/>
      <c r="BB133" s="250"/>
      <c r="BC133" s="250"/>
      <c r="BD133" s="250"/>
      <c r="BE133" s="250"/>
      <c r="BF133" s="250"/>
      <c r="BG133" s="250"/>
      <c r="BH133" s="250"/>
      <c r="BI133" s="250"/>
      <c r="BJ133" s="250"/>
      <c r="BK133" s="250"/>
      <c r="BL133" s="250"/>
      <c r="BM133" s="250"/>
      <c r="BN133" s="250"/>
      <c r="BO133" s="250"/>
      <c r="BP133" s="250"/>
      <c r="BQ133" s="355" t="s">
        <v>314</v>
      </c>
      <c r="BR133" s="286" t="s">
        <v>297</v>
      </c>
      <c r="BS133" s="250"/>
      <c r="BT133" s="250"/>
      <c r="BU133" s="611">
        <f>DA131</f>
        <v>193.59641400000001</v>
      </c>
      <c r="BV133" s="611">
        <f>CZ131*(1+CA133)</f>
        <v>2.7879999999999998</v>
      </c>
      <c r="BW133" s="611">
        <v>0</v>
      </c>
      <c r="BX133" s="611">
        <v>0</v>
      </c>
      <c r="BZ133" s="1"/>
      <c r="CA133" s="635">
        <f>CB133*CD133+CC133*CE133</f>
        <v>0</v>
      </c>
      <c r="CB133" s="611">
        <f t="shared" si="63"/>
        <v>1</v>
      </c>
      <c r="CC133" s="611">
        <f t="shared" si="63"/>
        <v>0</v>
      </c>
      <c r="CD133" s="611">
        <f>CZ134</f>
        <v>0</v>
      </c>
      <c r="CE133" s="611">
        <f>CZ135</f>
        <v>0</v>
      </c>
      <c r="CF133" s="250"/>
      <c r="CG133" s="250"/>
      <c r="CH133" s="250"/>
      <c r="CI133" s="250"/>
      <c r="CJ133" s="250"/>
      <c r="CK133" s="250"/>
      <c r="CL133" s="250"/>
      <c r="CM133" s="250"/>
      <c r="CN133" s="250"/>
      <c r="CO133" s="250"/>
      <c r="CP133" s="356"/>
      <c r="CQ133" s="250"/>
      <c r="CR133" s="250"/>
      <c r="CS133" s="250"/>
      <c r="CT133" s="250"/>
      <c r="CU133" s="250"/>
      <c r="CV133" s="250"/>
      <c r="CW133" s="250"/>
      <c r="CX133" s="588"/>
      <c r="CY133" s="344" t="s">
        <v>149</v>
      </c>
      <c r="CZ133" s="344" t="s">
        <v>292</v>
      </c>
      <c r="DA133" s="344" t="s">
        <v>575</v>
      </c>
      <c r="DB133" s="344" t="s">
        <v>104</v>
      </c>
      <c r="DD133" s="670" t="s">
        <v>314</v>
      </c>
      <c r="DE133" s="576">
        <v>1</v>
      </c>
      <c r="DF133" s="576">
        <v>0</v>
      </c>
      <c r="DG133" s="1"/>
      <c r="DH133" s="1"/>
      <c r="DI133" s="1"/>
      <c r="DX133" s="250"/>
    </row>
    <row r="134" spans="1:129">
      <c r="A134" s="787" t="str">
        <f>Historico!A134</f>
        <v>d) Otros Elementos Electromecánicos en Media Tensión - C5</v>
      </c>
      <c r="B134" s="16">
        <f>+Historico!N134</f>
        <v>0.99960000000000004</v>
      </c>
      <c r="C134" s="55">
        <f t="shared" si="60"/>
        <v>0.998</v>
      </c>
      <c r="D134" s="28">
        <f>+C134/B134-1</f>
        <v>-1.6006402561025146E-3</v>
      </c>
      <c r="F134" s="55">
        <f>IF(IF(ResumenIndicadores!$F$11="Ft-1",B134,C134)=0,"",IF(ResumenIndicadores!$F$11="Ft-1",B134,C134))</f>
        <v>0.99960000000000004</v>
      </c>
      <c r="G134" s="107"/>
      <c r="H134" s="107"/>
      <c r="I134" s="107"/>
      <c r="J134" s="107"/>
      <c r="M134" s="355" t="s">
        <v>315</v>
      </c>
      <c r="N134" s="286" t="s">
        <v>298</v>
      </c>
      <c r="O134" s="250"/>
      <c r="P134" s="250"/>
      <c r="Q134" s="576">
        <v>0.39</v>
      </c>
      <c r="R134" s="576">
        <v>0.3</v>
      </c>
      <c r="S134" s="576">
        <v>0.31</v>
      </c>
      <c r="T134" s="576">
        <v>0</v>
      </c>
      <c r="V134" s="250"/>
      <c r="W134" s="250"/>
      <c r="X134" s="355" t="s">
        <v>315</v>
      </c>
      <c r="Y134" s="286" t="s">
        <v>298</v>
      </c>
      <c r="Z134" s="250"/>
      <c r="AA134" s="250"/>
      <c r="AB134" s="611">
        <f>AM134/BU134</f>
        <v>1.0767918046250586</v>
      </c>
      <c r="AC134" s="611">
        <f>AN134/BV134</f>
        <v>0.925035868005739</v>
      </c>
      <c r="AD134" s="611">
        <f>AO134/BW134</f>
        <v>0.9694846825951835</v>
      </c>
      <c r="AE134" s="611">
        <v>0</v>
      </c>
      <c r="AG134" s="252"/>
      <c r="AH134" s="250"/>
      <c r="AI134" s="355" t="s">
        <v>315</v>
      </c>
      <c r="AJ134" s="286" t="s">
        <v>298</v>
      </c>
      <c r="AK134" s="250"/>
      <c r="AL134" s="250"/>
      <c r="AM134" s="611">
        <f>DA132</f>
        <v>208.463032</v>
      </c>
      <c r="AN134" s="611">
        <f>CZ132*(1+AS134)</f>
        <v>2.5790000000000002</v>
      </c>
      <c r="AO134" s="611">
        <f>DB132*CZ132*(1+DA136)</f>
        <v>924.80790833333344</v>
      </c>
      <c r="AP134" s="611">
        <v>0</v>
      </c>
      <c r="AR134" s="1"/>
      <c r="AS134" s="635">
        <f>AT134*AV134+AU134*AW134</f>
        <v>0</v>
      </c>
      <c r="AT134" s="611">
        <f t="shared" si="62"/>
        <v>0</v>
      </c>
      <c r="AU134" s="611">
        <f t="shared" si="62"/>
        <v>1</v>
      </c>
      <c r="AV134" s="611">
        <f>DA134</f>
        <v>0</v>
      </c>
      <c r="AW134" s="611">
        <f>DA135</f>
        <v>0</v>
      </c>
      <c r="AX134" s="250"/>
      <c r="AY134" s="250"/>
      <c r="AZ134" s="250"/>
      <c r="BA134" s="250"/>
      <c r="BB134" s="250"/>
      <c r="BC134" s="250"/>
      <c r="BD134" s="250"/>
      <c r="BE134" s="250"/>
      <c r="BF134" s="250"/>
      <c r="BG134" s="250"/>
      <c r="BH134" s="250"/>
      <c r="BI134" s="250"/>
      <c r="BJ134" s="250"/>
      <c r="BK134" s="250"/>
      <c r="BL134" s="250"/>
      <c r="BM134" s="250"/>
      <c r="BN134" s="250"/>
      <c r="BO134" s="250"/>
      <c r="BP134" s="250"/>
      <c r="BQ134" s="355" t="s">
        <v>315</v>
      </c>
      <c r="BR134" s="286" t="s">
        <v>298</v>
      </c>
      <c r="BS134" s="250"/>
      <c r="BT134" s="250"/>
      <c r="BU134" s="611">
        <f>DA131</f>
        <v>193.59641400000001</v>
      </c>
      <c r="BV134" s="611">
        <f>CZ131*(1+CA134)</f>
        <v>2.7879999999999998</v>
      </c>
      <c r="BW134" s="611">
        <f>DB131*CZ131*(1+CZ136)</f>
        <v>953.91698799999995</v>
      </c>
      <c r="BX134" s="611">
        <v>0</v>
      </c>
      <c r="BZ134" s="1"/>
      <c r="CA134" s="635">
        <f>CB134*CD134+CC134*CE134</f>
        <v>0</v>
      </c>
      <c r="CB134" s="611">
        <f t="shared" si="63"/>
        <v>0</v>
      </c>
      <c r="CC134" s="611">
        <f t="shared" si="63"/>
        <v>1</v>
      </c>
      <c r="CD134" s="611">
        <f>CZ134</f>
        <v>0</v>
      </c>
      <c r="CE134" s="611">
        <f>CZ135</f>
        <v>0</v>
      </c>
      <c r="CF134" s="250"/>
      <c r="CG134" s="250"/>
      <c r="CH134" s="250"/>
      <c r="CI134" s="250"/>
      <c r="CJ134" s="250"/>
      <c r="CK134" s="250"/>
      <c r="CL134" s="250"/>
      <c r="CM134" s="250"/>
      <c r="CN134" s="250"/>
      <c r="CO134" s="250"/>
      <c r="CP134" s="118"/>
      <c r="CQ134" s="250"/>
      <c r="CR134" s="250"/>
      <c r="CS134" s="250"/>
      <c r="CT134" s="250"/>
      <c r="CU134" s="250"/>
      <c r="CV134" s="250"/>
      <c r="CW134" s="250"/>
      <c r="CX134" s="351" t="s">
        <v>460</v>
      </c>
      <c r="CY134" s="601" t="s">
        <v>453</v>
      </c>
      <c r="CZ134" s="647">
        <v>0</v>
      </c>
      <c r="DA134" s="565">
        <f>TA_VAD!D20</f>
        <v>0</v>
      </c>
      <c r="DB134" s="602">
        <v>9028309000</v>
      </c>
      <c r="DD134" s="670" t="s">
        <v>315</v>
      </c>
      <c r="DE134" s="576">
        <v>0</v>
      </c>
      <c r="DF134" s="576">
        <v>1</v>
      </c>
      <c r="DG134" s="1"/>
      <c r="DH134" s="1"/>
      <c r="DI134" s="1"/>
      <c r="DX134" s="250"/>
    </row>
    <row r="135" spans="1:129">
      <c r="A135" s="787" t="str">
        <f>Historico!A135</f>
        <v>e) Vereda, Murete, Mástil y Protección de Estructuras - C1/C2/C3/C4/C5</v>
      </c>
      <c r="B135" s="16">
        <f>+Historico!N135</f>
        <v>1.0791999999999999</v>
      </c>
      <c r="C135" s="55">
        <f t="shared" si="60"/>
        <v>1.0768</v>
      </c>
      <c r="D135" s="28">
        <f>+C135/B135-1</f>
        <v>-2.2238695329873659E-3</v>
      </c>
      <c r="F135" s="55">
        <f>IF(IF(ResumenIndicadores!$F$11="Ft-1",B135,C135)=0,"",IF(ResumenIndicadores!$F$11="Ft-1",B135,C135))</f>
        <v>1.0791999999999999</v>
      </c>
      <c r="G135" s="107"/>
      <c r="H135" s="107"/>
      <c r="I135" s="107"/>
      <c r="J135" s="107"/>
      <c r="M135" s="355" t="s">
        <v>316</v>
      </c>
      <c r="N135" s="286" t="s">
        <v>299</v>
      </c>
      <c r="O135" s="250"/>
      <c r="P135" s="250"/>
      <c r="Q135" s="576">
        <v>1</v>
      </c>
      <c r="R135" s="576">
        <v>0</v>
      </c>
      <c r="S135" s="576">
        <v>0</v>
      </c>
      <c r="T135" s="576">
        <v>0</v>
      </c>
      <c r="V135" s="250"/>
      <c r="W135" s="250"/>
      <c r="X135" s="355" t="s">
        <v>316</v>
      </c>
      <c r="Y135" s="286" t="s">
        <v>299</v>
      </c>
      <c r="Z135" s="250"/>
      <c r="AA135" s="250"/>
      <c r="AB135" s="611">
        <f t="shared" ref="AB135" si="64">AM135/BU135</f>
        <v>1.0767918046250586</v>
      </c>
      <c r="AC135" s="611">
        <v>0</v>
      </c>
      <c r="AD135" s="611">
        <v>0</v>
      </c>
      <c r="AE135" s="611">
        <v>0</v>
      </c>
      <c r="AG135" s="252"/>
      <c r="AH135" s="250"/>
      <c r="AI135" s="355" t="s">
        <v>316</v>
      </c>
      <c r="AJ135" s="286" t="s">
        <v>299</v>
      </c>
      <c r="AK135" s="250"/>
      <c r="AL135" s="250"/>
      <c r="AM135" s="611">
        <f>DA132</f>
        <v>208.463032</v>
      </c>
      <c r="AN135" s="611">
        <v>0</v>
      </c>
      <c r="AO135" s="611">
        <v>0</v>
      </c>
      <c r="AP135" s="611">
        <v>0</v>
      </c>
      <c r="AR135" s="1"/>
      <c r="AS135" s="635">
        <f>AT135*AV135+AU135*AW135</f>
        <v>0</v>
      </c>
      <c r="AT135" s="611">
        <f t="shared" si="62"/>
        <v>0</v>
      </c>
      <c r="AU135" s="611">
        <f t="shared" si="62"/>
        <v>1</v>
      </c>
      <c r="AV135" s="611">
        <f>DA134</f>
        <v>0</v>
      </c>
      <c r="AW135" s="611">
        <f>DA135</f>
        <v>0</v>
      </c>
      <c r="AX135" s="250"/>
      <c r="AY135" s="250"/>
      <c r="AZ135" s="250"/>
      <c r="BA135" s="250"/>
      <c r="BB135" s="250"/>
      <c r="BC135" s="250"/>
      <c r="BD135" s="250"/>
      <c r="BE135" s="250"/>
      <c r="BF135" s="250"/>
      <c r="BG135" s="250"/>
      <c r="BH135" s="250"/>
      <c r="BI135" s="250"/>
      <c r="BJ135" s="250"/>
      <c r="BK135" s="250"/>
      <c r="BL135" s="250"/>
      <c r="BM135" s="250"/>
      <c r="BN135" s="250"/>
      <c r="BO135" s="250"/>
      <c r="BP135" s="250"/>
      <c r="BQ135" s="355" t="s">
        <v>316</v>
      </c>
      <c r="BR135" s="286" t="s">
        <v>299</v>
      </c>
      <c r="BS135" s="250"/>
      <c r="BT135" s="250"/>
      <c r="BU135" s="611">
        <f>DA131</f>
        <v>193.59641400000001</v>
      </c>
      <c r="BV135" s="611">
        <v>0</v>
      </c>
      <c r="BW135" s="611">
        <v>0</v>
      </c>
      <c r="BX135" s="611">
        <v>0</v>
      </c>
      <c r="BZ135" s="1"/>
      <c r="CA135" s="635">
        <f>CB135*CD135+CC135*CE135</f>
        <v>0</v>
      </c>
      <c r="CB135" s="611">
        <f t="shared" si="63"/>
        <v>0</v>
      </c>
      <c r="CC135" s="611">
        <f t="shared" si="63"/>
        <v>1</v>
      </c>
      <c r="CD135" s="611">
        <f>CZ134</f>
        <v>0</v>
      </c>
      <c r="CE135" s="611">
        <f>CZ135</f>
        <v>0</v>
      </c>
      <c r="CF135" s="250"/>
      <c r="CG135" s="250"/>
      <c r="CH135" s="250"/>
      <c r="CI135" s="250"/>
      <c r="CJ135" s="250"/>
      <c r="CK135" s="250"/>
      <c r="CL135" s="250"/>
      <c r="CM135" s="250"/>
      <c r="CN135" s="250"/>
      <c r="CO135" s="250"/>
      <c r="CP135" s="118"/>
      <c r="CQ135" s="250"/>
      <c r="CR135" s="250"/>
      <c r="CS135" s="250"/>
      <c r="CT135" s="250"/>
      <c r="CU135" s="250"/>
      <c r="CV135" s="250"/>
      <c r="CW135" s="250"/>
      <c r="CX135" s="351" t="s">
        <v>462</v>
      </c>
      <c r="CY135" s="601" t="s">
        <v>101</v>
      </c>
      <c r="CZ135" s="648">
        <v>0</v>
      </c>
      <c r="DA135" s="566">
        <f>TA_VAD!D21</f>
        <v>0</v>
      </c>
      <c r="DB135" s="603">
        <v>8535300000</v>
      </c>
      <c r="DD135" s="670" t="s">
        <v>316</v>
      </c>
      <c r="DE135" s="576">
        <v>0</v>
      </c>
      <c r="DF135" s="576">
        <v>1</v>
      </c>
      <c r="DG135" s="1"/>
      <c r="DH135" s="1"/>
      <c r="DI135" s="1"/>
      <c r="DX135" s="250"/>
    </row>
    <row r="136" spans="1:129">
      <c r="A136" s="786" t="str">
        <f>Historico!A136</f>
        <v>Para cambio a conexión prepago</v>
      </c>
      <c r="B136" s="16" t="str">
        <f>+Historico!N136</f>
        <v/>
      </c>
      <c r="C136" s="55"/>
      <c r="D136" s="28"/>
      <c r="F136" s="55" t="str">
        <f>IF(IF(ResumenIndicadores!$F$11="Ft-1",B136,C136)=0,"",IF(ResumenIndicadores!$F$11="Ft-1",B136,C136))</f>
        <v/>
      </c>
      <c r="G136" s="107"/>
      <c r="H136" s="107"/>
      <c r="I136" s="107"/>
      <c r="J136" s="107"/>
      <c r="M136" s="617" t="s">
        <v>300</v>
      </c>
      <c r="N136" s="278"/>
      <c r="O136" s="278"/>
      <c r="P136" s="278"/>
      <c r="Q136" s="581"/>
      <c r="R136" s="581"/>
      <c r="S136" s="581"/>
      <c r="T136" s="581"/>
      <c r="V136" s="250"/>
      <c r="W136" s="250"/>
      <c r="X136" s="617" t="s">
        <v>300</v>
      </c>
      <c r="Y136" s="278"/>
      <c r="Z136" s="278"/>
      <c r="AA136" s="278"/>
      <c r="AB136" s="589"/>
      <c r="AC136" s="589"/>
      <c r="AD136" s="589"/>
      <c r="AE136" s="589"/>
      <c r="AG136" s="252"/>
      <c r="AH136" s="250"/>
      <c r="AI136" s="617" t="s">
        <v>300</v>
      </c>
      <c r="AJ136" s="278"/>
      <c r="AK136" s="278"/>
      <c r="AL136" s="278"/>
      <c r="AM136" s="589"/>
      <c r="AN136" s="589"/>
      <c r="AO136" s="589"/>
      <c r="AP136" s="589"/>
      <c r="AR136" s="1"/>
      <c r="AS136" s="589"/>
      <c r="AT136" s="589"/>
      <c r="AU136" s="589"/>
      <c r="AV136" s="589"/>
      <c r="AW136" s="589"/>
      <c r="AX136" s="250"/>
      <c r="AY136" s="250"/>
      <c r="AZ136" s="250"/>
      <c r="BA136" s="250"/>
      <c r="BB136" s="250"/>
      <c r="BC136" s="250"/>
      <c r="BD136" s="250"/>
      <c r="BE136" s="250"/>
      <c r="BF136" s="250"/>
      <c r="BG136" s="250"/>
      <c r="BH136" s="250"/>
      <c r="BI136" s="250"/>
      <c r="BJ136" s="250"/>
      <c r="BK136" s="250"/>
      <c r="BL136" s="250"/>
      <c r="BM136" s="250"/>
      <c r="BN136" s="250"/>
      <c r="BO136" s="250"/>
      <c r="BP136" s="250"/>
      <c r="BQ136" s="617" t="s">
        <v>300</v>
      </c>
      <c r="BR136" s="278"/>
      <c r="BS136" s="278"/>
      <c r="BT136" s="278"/>
      <c r="BU136" s="589"/>
      <c r="BV136" s="589"/>
      <c r="BW136" s="589"/>
      <c r="BX136" s="589"/>
      <c r="BZ136" s="1"/>
      <c r="CA136" s="589"/>
      <c r="CB136" s="589"/>
      <c r="CC136" s="589"/>
      <c r="CD136" s="589"/>
      <c r="CE136" s="589"/>
      <c r="CF136" s="250"/>
      <c r="CG136" s="250"/>
      <c r="CH136" s="250"/>
      <c r="CI136" s="250"/>
      <c r="CJ136" s="250"/>
      <c r="CK136" s="250"/>
      <c r="CL136" s="250"/>
      <c r="CM136" s="250"/>
      <c r="CN136" s="250"/>
      <c r="CO136" s="250"/>
      <c r="CP136" s="118"/>
      <c r="CQ136" s="250"/>
      <c r="CR136" s="250"/>
      <c r="CS136" s="250"/>
      <c r="CT136" s="250"/>
      <c r="CU136" s="250"/>
      <c r="CV136" s="250"/>
      <c r="CW136" s="250"/>
      <c r="CX136" s="351" t="s">
        <v>450</v>
      </c>
      <c r="CY136" s="601" t="s">
        <v>305</v>
      </c>
      <c r="CZ136" s="648">
        <v>0.09</v>
      </c>
      <c r="DA136" s="566">
        <f>TA_VAD!D18</f>
        <v>0</v>
      </c>
      <c r="DB136" s="603">
        <v>7413000000</v>
      </c>
      <c r="DD136" s="670"/>
      <c r="DE136" s="581"/>
      <c r="DF136" s="581"/>
      <c r="DG136" s="1"/>
      <c r="DH136" s="1"/>
      <c r="DI136" s="1"/>
      <c r="DU136" s="250"/>
      <c r="DY136" s="266"/>
    </row>
    <row r="137" spans="1:129">
      <c r="A137" s="787" t="str">
        <f>Historico!A137</f>
        <v>a) Conexiones en Baja Tensión - C1/C2</v>
      </c>
      <c r="B137" s="16">
        <f>+Historico!N137</f>
        <v>0.97060000000000002</v>
      </c>
      <c r="C137" s="55">
        <f t="shared" si="60"/>
        <v>0.96709999999999996</v>
      </c>
      <c r="D137" s="28">
        <f>+C137/B137-1</f>
        <v>-3.6060168967649853E-3</v>
      </c>
      <c r="F137" s="55">
        <f>IF(IF(ResumenIndicadores!$F$11="Ft-1",B137,C137)=0,"",IF(ResumenIndicadores!$F$11="Ft-1",B137,C137))</f>
        <v>0.97060000000000002</v>
      </c>
      <c r="G137" s="8"/>
      <c r="H137" s="8"/>
      <c r="I137" s="8"/>
      <c r="J137" s="8"/>
      <c r="M137" s="357" t="s">
        <v>317</v>
      </c>
      <c r="N137" s="286" t="s">
        <v>295</v>
      </c>
      <c r="O137" s="250"/>
      <c r="P137" s="250"/>
      <c r="Q137" s="576">
        <v>0.25</v>
      </c>
      <c r="R137" s="576">
        <v>0.63</v>
      </c>
      <c r="S137" s="576">
        <v>0.1</v>
      </c>
      <c r="T137" s="576">
        <v>0.02</v>
      </c>
      <c r="V137" s="250"/>
      <c r="W137" s="250"/>
      <c r="X137" s="357" t="s">
        <v>317</v>
      </c>
      <c r="Y137" s="286" t="s">
        <v>295</v>
      </c>
      <c r="Z137" s="250"/>
      <c r="AA137" s="250"/>
      <c r="AB137" s="611">
        <f>AM137/BU137</f>
        <v>1.0767918046250586</v>
      </c>
      <c r="AC137" s="611">
        <f t="shared" ref="AC137" si="65">AN137/BV137</f>
        <v>0.925035868005739</v>
      </c>
      <c r="AD137" s="611">
        <f>AO137/BW137</f>
        <v>0.9694846825951835</v>
      </c>
      <c r="AE137" s="611">
        <f>AP137/BX137</f>
        <v>0.90943325850143508</v>
      </c>
      <c r="AG137" s="252"/>
      <c r="AH137" s="250"/>
      <c r="AI137" s="357" t="s">
        <v>317</v>
      </c>
      <c r="AJ137" s="286" t="s">
        <v>295</v>
      </c>
      <c r="AK137" s="250"/>
      <c r="AL137" s="250"/>
      <c r="AM137" s="611">
        <f>DA132</f>
        <v>208.463032</v>
      </c>
      <c r="AN137" s="611">
        <f>CZ132*(1+AS137)</f>
        <v>2.5790000000000002</v>
      </c>
      <c r="AO137" s="611">
        <f>DB132*CZ132*(1+DA136)</f>
        <v>924.80790833333344</v>
      </c>
      <c r="AP137" s="611">
        <f>DC132*CZ132*(1+DA137)</f>
        <v>5223.180554884616</v>
      </c>
      <c r="AR137" s="1"/>
      <c r="AS137" s="635">
        <f>AT137*AV137+AU137*AW137</f>
        <v>0</v>
      </c>
      <c r="AT137" s="611">
        <f>DE137</f>
        <v>0.98</v>
      </c>
      <c r="AU137" s="611">
        <f>DF137</f>
        <v>2.0000000000000018E-2</v>
      </c>
      <c r="AV137" s="611">
        <f>DA134</f>
        <v>0</v>
      </c>
      <c r="AW137" s="611">
        <f>DA135</f>
        <v>0</v>
      </c>
      <c r="AX137" s="250"/>
      <c r="AY137" s="250"/>
      <c r="AZ137" s="250"/>
      <c r="BA137" s="250"/>
      <c r="BB137" s="250"/>
      <c r="BC137" s="250"/>
      <c r="BD137" s="250"/>
      <c r="BE137" s="250"/>
      <c r="BF137" s="250"/>
      <c r="BG137" s="250"/>
      <c r="BH137" s="250"/>
      <c r="BI137" s="250"/>
      <c r="BJ137" s="250"/>
      <c r="BK137" s="250"/>
      <c r="BL137" s="250"/>
      <c r="BM137" s="250"/>
      <c r="BN137" s="250"/>
      <c r="BO137" s="250"/>
      <c r="BP137" s="250"/>
      <c r="BQ137" s="357" t="s">
        <v>317</v>
      </c>
      <c r="BR137" s="286" t="s">
        <v>295</v>
      </c>
      <c r="BS137" s="250"/>
      <c r="BT137" s="250"/>
      <c r="BU137" s="611">
        <f>DA131</f>
        <v>193.59641400000001</v>
      </c>
      <c r="BV137" s="611">
        <f>CZ131*(1+CA137)</f>
        <v>2.7879999999999998</v>
      </c>
      <c r="BW137" s="611">
        <f>DB131*CZ131*(1+CZ136)</f>
        <v>953.91698799999995</v>
      </c>
      <c r="BX137" s="611">
        <f>DC131*CZ131*(1+DA137)</f>
        <v>5743.3357599999999</v>
      </c>
      <c r="BZ137" s="1"/>
      <c r="CA137" s="635">
        <f>CB137*CD137+CC137*CE137</f>
        <v>0</v>
      </c>
      <c r="CB137" s="611">
        <f>DE137</f>
        <v>0.98</v>
      </c>
      <c r="CC137" s="611">
        <f>DF137</f>
        <v>2.0000000000000018E-2</v>
      </c>
      <c r="CD137" s="611">
        <f>CZ134</f>
        <v>0</v>
      </c>
      <c r="CE137" s="611">
        <f>CZ135</f>
        <v>0</v>
      </c>
      <c r="CF137" s="250"/>
      <c r="CG137" s="250"/>
      <c r="CH137" s="250"/>
      <c r="CI137" s="250"/>
      <c r="CJ137" s="250"/>
      <c r="CK137" s="250"/>
      <c r="CL137" s="250"/>
      <c r="CM137" s="250"/>
      <c r="CN137" s="250"/>
      <c r="CO137" s="250"/>
      <c r="CP137" s="118"/>
      <c r="CQ137" s="250"/>
      <c r="CR137" s="250"/>
      <c r="CS137" s="250"/>
      <c r="CT137" s="250"/>
      <c r="CU137" s="250"/>
      <c r="CV137" s="250"/>
      <c r="CW137" s="250"/>
      <c r="CX137" s="351" t="s">
        <v>451</v>
      </c>
      <c r="CY137" s="601" t="s">
        <v>306</v>
      </c>
      <c r="CZ137" s="649">
        <v>0</v>
      </c>
      <c r="DA137" s="567">
        <f>TA_VAD!D19</f>
        <v>0</v>
      </c>
      <c r="DB137" s="605">
        <v>7614900000</v>
      </c>
      <c r="DD137" s="670" t="s">
        <v>317</v>
      </c>
      <c r="DE137" s="576">
        <v>0.98</v>
      </c>
      <c r="DF137" s="576">
        <v>2.0000000000000018E-2</v>
      </c>
      <c r="DG137" s="1"/>
      <c r="DH137" s="1"/>
      <c r="DI137" s="1"/>
      <c r="DX137" s="250"/>
    </row>
    <row r="138" spans="1:129">
      <c r="A138" s="786" t="str">
        <f>Historico!A138</f>
        <v>Para costos por metro de cable</v>
      </c>
      <c r="B138" s="16" t="str">
        <f>+Historico!N138</f>
        <v/>
      </c>
      <c r="C138" s="55"/>
      <c r="D138" s="28"/>
      <c r="F138" s="55" t="str">
        <f>IF(IF(ResumenIndicadores!$F$11="Ft-1",B138,C138)=0,"",IF(ResumenIndicadores!$F$11="Ft-1",B138,C138))</f>
        <v/>
      </c>
      <c r="G138" s="107"/>
      <c r="H138" s="107"/>
      <c r="I138" s="107"/>
      <c r="J138" s="107"/>
      <c r="M138" s="617" t="s">
        <v>301</v>
      </c>
      <c r="N138" s="278"/>
      <c r="O138" s="582"/>
      <c r="P138" s="278"/>
      <c r="Q138" s="592"/>
      <c r="R138" s="592"/>
      <c r="S138" s="592"/>
      <c r="T138" s="592"/>
      <c r="V138" s="250"/>
      <c r="W138" s="250"/>
      <c r="X138" s="617" t="s">
        <v>301</v>
      </c>
      <c r="Y138" s="278"/>
      <c r="Z138" s="582"/>
      <c r="AA138" s="278"/>
      <c r="AB138" s="615"/>
      <c r="AC138" s="615"/>
      <c r="AD138" s="615"/>
      <c r="AE138" s="615"/>
      <c r="AG138" s="252"/>
      <c r="AH138" s="250"/>
      <c r="AI138" s="617" t="s">
        <v>301</v>
      </c>
      <c r="AJ138" s="278"/>
      <c r="AK138" s="582"/>
      <c r="AL138" s="278"/>
      <c r="AM138" s="615"/>
      <c r="AN138" s="615"/>
      <c r="AO138" s="615"/>
      <c r="AP138" s="615"/>
      <c r="AR138" s="1"/>
      <c r="AS138" s="615"/>
      <c r="AT138" s="615"/>
      <c r="AU138" s="615"/>
      <c r="AV138" s="615"/>
      <c r="AW138" s="615"/>
      <c r="AX138" s="250"/>
      <c r="AY138" s="250"/>
      <c r="AZ138" s="250"/>
      <c r="BA138" s="250"/>
      <c r="BB138" s="250"/>
      <c r="BC138" s="250"/>
      <c r="BD138" s="250"/>
      <c r="BE138" s="250"/>
      <c r="BF138" s="250"/>
      <c r="BG138" s="250"/>
      <c r="BH138" s="250"/>
      <c r="BI138" s="250"/>
      <c r="BJ138" s="250"/>
      <c r="BK138" s="250"/>
      <c r="BL138" s="250"/>
      <c r="BM138" s="250"/>
      <c r="BN138" s="250"/>
      <c r="BO138" s="250"/>
      <c r="BP138" s="250"/>
      <c r="BQ138" s="617" t="s">
        <v>301</v>
      </c>
      <c r="BR138" s="278"/>
      <c r="BS138" s="582"/>
      <c r="BT138" s="278"/>
      <c r="BU138" s="615"/>
      <c r="BV138" s="615"/>
      <c r="BW138" s="615"/>
      <c r="BX138" s="615"/>
      <c r="BZ138" s="1"/>
      <c r="CA138" s="615"/>
      <c r="CB138" s="615"/>
      <c r="CC138" s="615"/>
      <c r="CD138" s="615"/>
      <c r="CE138" s="615"/>
      <c r="CF138" s="250"/>
      <c r="CG138" s="250"/>
      <c r="CH138" s="250"/>
      <c r="CI138" s="250"/>
      <c r="CJ138" s="250"/>
      <c r="CK138" s="250"/>
      <c r="CL138" s="250"/>
      <c r="CM138" s="250"/>
      <c r="CN138" s="250"/>
      <c r="CO138" s="250"/>
      <c r="CP138" s="118"/>
      <c r="DD138" s="670"/>
      <c r="DE138" s="592"/>
      <c r="DF138" s="592"/>
      <c r="DG138" s="1"/>
      <c r="DH138" s="1"/>
      <c r="DI138" s="1"/>
      <c r="DX138" s="250"/>
      <c r="DY138" s="266"/>
    </row>
    <row r="139" spans="1:129">
      <c r="A139" s="787" t="str">
        <f>Historico!A139</f>
        <v>a) Conexiones en Baja Tensión - C1/C2</v>
      </c>
      <c r="B139" s="16">
        <f>+Historico!N139</f>
        <v>0.99609999999999999</v>
      </c>
      <c r="C139" s="55">
        <f t="shared" si="60"/>
        <v>0.99739999999999995</v>
      </c>
      <c r="D139" s="28">
        <f>+C139/B139-1</f>
        <v>1.305089850416552E-3</v>
      </c>
      <c r="F139" s="55">
        <f>IF(IF(ResumenIndicadores!$F$11="Ft-1",B139,C139)=0,"",IF(ResumenIndicadores!$F$11="Ft-1",B139,C139))</f>
        <v>0.99609999999999999</v>
      </c>
      <c r="M139" s="357" t="s">
        <v>318</v>
      </c>
      <c r="N139" s="286" t="s">
        <v>295</v>
      </c>
      <c r="O139" s="250"/>
      <c r="P139" s="250"/>
      <c r="Q139" s="576">
        <v>0.26</v>
      </c>
      <c r="R139" s="576">
        <v>0</v>
      </c>
      <c r="S139" s="576">
        <v>0.74</v>
      </c>
      <c r="T139" s="576">
        <v>0</v>
      </c>
      <c r="V139" s="250"/>
      <c r="W139" s="250"/>
      <c r="X139" s="357" t="s">
        <v>318</v>
      </c>
      <c r="Y139" s="286" t="s">
        <v>295</v>
      </c>
      <c r="Z139" s="250"/>
      <c r="AA139" s="250"/>
      <c r="AB139" s="611">
        <f>AM139/BU139</f>
        <v>1.0767918046250586</v>
      </c>
      <c r="AC139" s="611">
        <v>0</v>
      </c>
      <c r="AD139" s="611">
        <f t="shared" ref="AD139" si="66">AO139/BW139</f>
        <v>0.9694846825951835</v>
      </c>
      <c r="AE139" s="611">
        <v>0</v>
      </c>
      <c r="AG139" s="252"/>
      <c r="AH139" s="250"/>
      <c r="AI139" s="357" t="s">
        <v>318</v>
      </c>
      <c r="AJ139" s="286" t="s">
        <v>295</v>
      </c>
      <c r="AK139" s="250"/>
      <c r="AL139" s="250"/>
      <c r="AM139" s="611">
        <f>DA132</f>
        <v>208.463032</v>
      </c>
      <c r="AN139" s="611">
        <v>0</v>
      </c>
      <c r="AO139" s="611">
        <f>DB132*CZ132*(1+DA136)</f>
        <v>924.80790833333344</v>
      </c>
      <c r="AP139" s="611">
        <v>0</v>
      </c>
      <c r="AR139" s="1"/>
      <c r="AS139" s="635">
        <f>AT139*AV139+AU139*AW139</f>
        <v>0</v>
      </c>
      <c r="AT139" s="611">
        <f>DE139</f>
        <v>0</v>
      </c>
      <c r="AU139" s="611">
        <f>DF139</f>
        <v>1</v>
      </c>
      <c r="AV139" s="611">
        <f>DA134</f>
        <v>0</v>
      </c>
      <c r="AW139" s="611">
        <f>DA135</f>
        <v>0</v>
      </c>
      <c r="AX139" s="250"/>
      <c r="AY139" s="250"/>
      <c r="AZ139" s="250"/>
      <c r="BA139" s="250"/>
      <c r="BB139" s="250"/>
      <c r="BC139" s="250"/>
      <c r="BD139" s="250"/>
      <c r="BE139" s="250"/>
      <c r="BF139" s="250"/>
      <c r="BG139" s="250"/>
      <c r="BH139" s="250"/>
      <c r="BI139" s="250"/>
      <c r="BJ139" s="250"/>
      <c r="BK139" s="250"/>
      <c r="BL139" s="250"/>
      <c r="BM139" s="250"/>
      <c r="BN139" s="250"/>
      <c r="BO139" s="250"/>
      <c r="BP139" s="250"/>
      <c r="BQ139" s="357" t="s">
        <v>318</v>
      </c>
      <c r="BR139" s="286" t="s">
        <v>295</v>
      </c>
      <c r="BS139" s="250"/>
      <c r="BT139" s="250"/>
      <c r="BU139" s="611">
        <f>DA131</f>
        <v>193.59641400000001</v>
      </c>
      <c r="BV139" s="611">
        <v>0</v>
      </c>
      <c r="BW139" s="611">
        <f>DB131*CZ131*(1+CZ136)</f>
        <v>953.91698799999995</v>
      </c>
      <c r="BX139" s="611">
        <v>0</v>
      </c>
      <c r="BZ139" s="1"/>
      <c r="CA139" s="635">
        <f>CB139*CD139+CC139*CE139</f>
        <v>0</v>
      </c>
      <c r="CB139" s="611">
        <f>DE139</f>
        <v>0</v>
      </c>
      <c r="CC139" s="611">
        <f>DF139</f>
        <v>1</v>
      </c>
      <c r="CD139" s="611">
        <f>CZ134</f>
        <v>0</v>
      </c>
      <c r="CE139" s="611">
        <f>CZ135</f>
        <v>0</v>
      </c>
      <c r="CF139" s="250"/>
      <c r="CG139" s="250"/>
      <c r="CH139" s="250"/>
      <c r="CI139" s="250"/>
      <c r="CJ139" s="250"/>
      <c r="CK139" s="250"/>
      <c r="CL139" s="250"/>
      <c r="CM139" s="250"/>
      <c r="CN139" s="250"/>
      <c r="CO139" s="250"/>
      <c r="CP139" s="118"/>
      <c r="DD139" s="670" t="s">
        <v>318</v>
      </c>
      <c r="DE139" s="576">
        <v>0</v>
      </c>
      <c r="DF139" s="576">
        <v>1</v>
      </c>
      <c r="DG139" s="1"/>
      <c r="DH139" s="1"/>
      <c r="DI139" s="1"/>
    </row>
    <row r="140" spans="1:129" ht="20.25">
      <c r="A140" s="785" t="str">
        <f>Historico!A140</f>
        <v>2. MANTENIMIENTO DE LA CONEXIÓN</v>
      </c>
      <c r="B140" s="16" t="str">
        <f>+Historico!N140</f>
        <v/>
      </c>
      <c r="C140" s="55"/>
      <c r="D140" s="28"/>
      <c r="F140" s="55" t="str">
        <f>IF(IF(ResumenIndicadores!$F$11="Ft-1",B140,C140)=0,"",IF(ResumenIndicadores!$F$11="Ft-1",B140,C140))</f>
        <v/>
      </c>
      <c r="G140" s="108"/>
      <c r="H140" s="108"/>
      <c r="I140" s="108"/>
      <c r="J140" s="108"/>
      <c r="M140" s="580" t="s">
        <v>404</v>
      </c>
      <c r="N140" s="278"/>
      <c r="O140" s="278"/>
      <c r="P140" s="278"/>
      <c r="Q140" s="609" t="s">
        <v>319</v>
      </c>
      <c r="R140" s="609" t="s">
        <v>320</v>
      </c>
      <c r="S140" s="226" t="s">
        <v>321</v>
      </c>
      <c r="T140" s="226" t="s">
        <v>322</v>
      </c>
      <c r="V140" s="250"/>
      <c r="W140" s="250"/>
      <c r="X140" s="580" t="s">
        <v>404</v>
      </c>
      <c r="Y140" s="278"/>
      <c r="Z140" s="278"/>
      <c r="AA140" s="278"/>
      <c r="AB140" s="270" t="s">
        <v>319</v>
      </c>
      <c r="AC140" s="270" t="s">
        <v>320</v>
      </c>
      <c r="AD140" s="270" t="s">
        <v>321</v>
      </c>
      <c r="AE140" s="270" t="s">
        <v>322</v>
      </c>
      <c r="AG140" s="252"/>
      <c r="AH140" s="250"/>
      <c r="AI140" s="580" t="s">
        <v>404</v>
      </c>
      <c r="AJ140" s="278"/>
      <c r="AK140" s="278"/>
      <c r="AL140" s="278"/>
      <c r="AM140" s="270" t="s">
        <v>319</v>
      </c>
      <c r="AN140" s="270" t="s">
        <v>320</v>
      </c>
      <c r="AO140" s="270" t="s">
        <v>321</v>
      </c>
      <c r="AP140" s="270" t="s">
        <v>322</v>
      </c>
      <c r="AR140" s="1"/>
      <c r="AS140" s="270"/>
      <c r="AT140" s="270"/>
      <c r="AU140" s="270"/>
      <c r="AV140" s="270"/>
      <c r="AW140" s="270"/>
      <c r="AX140" s="250"/>
      <c r="AY140" s="250"/>
      <c r="AZ140" s="250"/>
      <c r="BA140" s="250"/>
      <c r="BB140" s="250"/>
      <c r="BC140" s="250"/>
      <c r="BD140" s="250"/>
      <c r="BE140" s="250"/>
      <c r="BF140" s="250"/>
      <c r="BG140" s="250"/>
      <c r="BH140" s="250"/>
      <c r="BI140" s="250"/>
      <c r="BJ140" s="250"/>
      <c r="BK140" s="250"/>
      <c r="BL140" s="250"/>
      <c r="BM140" s="250"/>
      <c r="BN140" s="250"/>
      <c r="BO140" s="250"/>
      <c r="BP140" s="250"/>
      <c r="BQ140" s="580" t="s">
        <v>404</v>
      </c>
      <c r="BR140" s="278"/>
      <c r="BS140" s="278"/>
      <c r="BT140" s="278"/>
      <c r="BU140" s="270" t="s">
        <v>319</v>
      </c>
      <c r="BV140" s="270" t="s">
        <v>320</v>
      </c>
      <c r="BW140" s="270" t="s">
        <v>321</v>
      </c>
      <c r="BX140" s="270" t="s">
        <v>322</v>
      </c>
      <c r="BZ140" s="1"/>
      <c r="CA140" s="270"/>
      <c r="CB140" s="270"/>
      <c r="CC140" s="270"/>
      <c r="CD140" s="270"/>
      <c r="CE140" s="270"/>
      <c r="CF140" s="250"/>
      <c r="CG140" s="250"/>
      <c r="CH140" s="250"/>
      <c r="CI140" s="250"/>
      <c r="CJ140" s="250"/>
      <c r="CK140" s="250"/>
      <c r="CL140" s="250"/>
      <c r="CM140" s="250"/>
      <c r="CN140" s="250"/>
      <c r="CO140" s="250"/>
      <c r="CP140" s="118"/>
      <c r="DD140" s="670"/>
      <c r="DE140" s="671"/>
      <c r="DF140" s="671"/>
      <c r="DG140" s="1"/>
      <c r="DH140" s="1"/>
      <c r="DI140" s="1"/>
      <c r="DY140" s="266"/>
    </row>
    <row r="141" spans="1:129" ht="20.25">
      <c r="A141" s="787" t="str">
        <f>Historico!A141</f>
        <v>a) Conexiones en Baja Tensión - C1/C2</v>
      </c>
      <c r="B141" s="16">
        <f>+Historico!N141</f>
        <v>1.0612999999999999</v>
      </c>
      <c r="C141" s="55">
        <f>ROUND(Q141*AB141+R141*AC141+S141*AD141+T141*AE141,4)</f>
        <v>1.0586</v>
      </c>
      <c r="D141" s="28">
        <f>+C141/B141-1</f>
        <v>-2.5440497503061987E-3</v>
      </c>
      <c r="F141" s="55">
        <f>IF(IF(ResumenIndicadores!$F$11="Ft-1",B141,C141)=0,"",IF(ResumenIndicadores!$F$11="Ft-1",B141,C141))</f>
        <v>1.0612999999999999</v>
      </c>
      <c r="G141" s="108"/>
      <c r="H141" s="108"/>
      <c r="I141" s="108"/>
      <c r="J141" s="108"/>
      <c r="M141" s="357" t="s">
        <v>323</v>
      </c>
      <c r="N141" s="286" t="s">
        <v>400</v>
      </c>
      <c r="O141" s="250"/>
      <c r="P141" s="250"/>
      <c r="Q141" s="576">
        <v>0.88</v>
      </c>
      <c r="R141" s="576">
        <v>0.12</v>
      </c>
      <c r="S141" s="576">
        <v>0</v>
      </c>
      <c r="T141" s="576">
        <v>0</v>
      </c>
      <c r="V141" s="250"/>
      <c r="X141" s="357" t="s">
        <v>323</v>
      </c>
      <c r="Y141" s="286" t="s">
        <v>400</v>
      </c>
      <c r="Z141" s="250"/>
      <c r="AA141" s="250"/>
      <c r="AB141" s="611">
        <f>AM141/BU141</f>
        <v>1.0767918046250586</v>
      </c>
      <c r="AC141" s="611">
        <f>AN141/BV141</f>
        <v>0.925035868005739</v>
      </c>
      <c r="AD141" s="611">
        <v>0</v>
      </c>
      <c r="AE141" s="611">
        <v>0</v>
      </c>
      <c r="AG141" s="252"/>
      <c r="AI141" s="357" t="s">
        <v>323</v>
      </c>
      <c r="AJ141" s="286" t="s">
        <v>400</v>
      </c>
      <c r="AK141" s="250"/>
      <c r="AL141" s="250"/>
      <c r="AM141" s="611">
        <f>DA132</f>
        <v>208.463032</v>
      </c>
      <c r="AN141" s="611">
        <f>CZ132*(1+AS141)</f>
        <v>2.5790000000000002</v>
      </c>
      <c r="AO141" s="611">
        <v>0</v>
      </c>
      <c r="AP141" s="611">
        <v>0</v>
      </c>
      <c r="AR141" s="1"/>
      <c r="AS141" s="635">
        <f>AT141*AV141+AU141*AW141</f>
        <v>0</v>
      </c>
      <c r="AT141" s="611">
        <f>DE141</f>
        <v>0.93</v>
      </c>
      <c r="AU141" s="611">
        <f>DF141</f>
        <v>7.0000000000000007E-2</v>
      </c>
      <c r="AV141" s="611">
        <f>DA134</f>
        <v>0</v>
      </c>
      <c r="AW141" s="611">
        <f>DA135</f>
        <v>0</v>
      </c>
      <c r="BQ141" s="357" t="s">
        <v>323</v>
      </c>
      <c r="BR141" s="286" t="s">
        <v>400</v>
      </c>
      <c r="BS141" s="250"/>
      <c r="BT141" s="250"/>
      <c r="BU141" s="611">
        <f>DA131</f>
        <v>193.59641400000001</v>
      </c>
      <c r="BV141" s="611">
        <f>CZ131*(1+CA141)</f>
        <v>2.7879999999999998</v>
      </c>
      <c r="BW141" s="611">
        <v>0</v>
      </c>
      <c r="BX141" s="611">
        <v>0</v>
      </c>
      <c r="BZ141" s="1"/>
      <c r="CA141" s="635">
        <f>CB141*CD141+CC141*CE141</f>
        <v>0</v>
      </c>
      <c r="CB141" s="611">
        <f>DE141</f>
        <v>0.93</v>
      </c>
      <c r="CC141" s="611">
        <f>DF141</f>
        <v>7.0000000000000007E-2</v>
      </c>
      <c r="CD141" s="611">
        <f>CZ134</f>
        <v>0</v>
      </c>
      <c r="CE141" s="611">
        <f>CZ135</f>
        <v>0</v>
      </c>
      <c r="CP141" s="118"/>
      <c r="DD141" s="670" t="s">
        <v>323</v>
      </c>
      <c r="DE141" s="576">
        <v>0.93</v>
      </c>
      <c r="DF141" s="576">
        <v>7.0000000000000007E-2</v>
      </c>
      <c r="DG141" s="1"/>
      <c r="DH141" s="1"/>
      <c r="DI141" s="1"/>
    </row>
    <row r="142" spans="1:129">
      <c r="A142" s="788" t="str">
        <f>Historico!A142</f>
        <v>b) Conexiones en Baja y Media Tensión  (PMI y Celda) - C3/C4/C5</v>
      </c>
      <c r="B142" s="17">
        <f>+Historico!N142</f>
        <v>1.0703</v>
      </c>
      <c r="C142" s="56">
        <f t="shared" si="60"/>
        <v>1.0677000000000001</v>
      </c>
      <c r="D142" s="29">
        <f>+C142/B142-1</f>
        <v>-2.4292254508081479E-3</v>
      </c>
      <c r="F142" s="56">
        <f>IF(IF(ResumenIndicadores!$F$11="Ft-1",B142,C142)=0,"",IF(ResumenIndicadores!$F$11="Ft-1",B142,C142))</f>
        <v>1.0703</v>
      </c>
      <c r="G142" s="9"/>
      <c r="H142" s="9"/>
      <c r="I142" s="9"/>
      <c r="J142" s="9"/>
      <c r="M142" s="324" t="s">
        <v>324</v>
      </c>
      <c r="N142" s="272" t="s">
        <v>401</v>
      </c>
      <c r="O142" s="268"/>
      <c r="P142" s="268"/>
      <c r="Q142" s="577">
        <v>0.94</v>
      </c>
      <c r="R142" s="577">
        <v>0.06</v>
      </c>
      <c r="S142" s="577">
        <v>0</v>
      </c>
      <c r="T142" s="577">
        <v>0</v>
      </c>
      <c r="V142" s="250"/>
      <c r="X142" s="324" t="s">
        <v>324</v>
      </c>
      <c r="Y142" s="272" t="s">
        <v>401</v>
      </c>
      <c r="Z142" s="268"/>
      <c r="AA142" s="268"/>
      <c r="AB142" s="612">
        <f>AM142/BU142</f>
        <v>1.0767918046250586</v>
      </c>
      <c r="AC142" s="612">
        <f t="shared" ref="AC142" si="67">AN142/BV142</f>
        <v>0.925035868005739</v>
      </c>
      <c r="AD142" s="612">
        <v>0</v>
      </c>
      <c r="AE142" s="612">
        <v>0</v>
      </c>
      <c r="AG142" s="252"/>
      <c r="AI142" s="324" t="s">
        <v>324</v>
      </c>
      <c r="AJ142" s="272" t="s">
        <v>401</v>
      </c>
      <c r="AK142" s="268"/>
      <c r="AL142" s="268"/>
      <c r="AM142" s="612">
        <f>DA132</f>
        <v>208.463032</v>
      </c>
      <c r="AN142" s="612">
        <f>CZ132*(1+AS142)</f>
        <v>2.5790000000000002</v>
      </c>
      <c r="AO142" s="612">
        <v>0</v>
      </c>
      <c r="AP142" s="612">
        <v>0</v>
      </c>
      <c r="AR142" s="1"/>
      <c r="AS142" s="636">
        <f>AT142*AV142+AU142*AW142</f>
        <v>0</v>
      </c>
      <c r="AT142" s="612">
        <f>DE142</f>
        <v>0.95</v>
      </c>
      <c r="AU142" s="612">
        <f>DF142</f>
        <v>0.05</v>
      </c>
      <c r="AV142" s="612">
        <f>DA134</f>
        <v>0</v>
      </c>
      <c r="AW142" s="612">
        <f>DA135</f>
        <v>0</v>
      </c>
      <c r="BQ142" s="324" t="s">
        <v>324</v>
      </c>
      <c r="BR142" s="272" t="s">
        <v>401</v>
      </c>
      <c r="BS142" s="268"/>
      <c r="BT142" s="268"/>
      <c r="BU142" s="612">
        <f>DA131</f>
        <v>193.59641400000001</v>
      </c>
      <c r="BV142" s="612">
        <f>CZ131*(1+CA142)</f>
        <v>2.7879999999999998</v>
      </c>
      <c r="BW142" s="612">
        <v>0</v>
      </c>
      <c r="BX142" s="612">
        <v>0</v>
      </c>
      <c r="BZ142" s="1"/>
      <c r="CA142" s="636">
        <f>CB142*CD142+CC142*CE142</f>
        <v>0</v>
      </c>
      <c r="CB142" s="612">
        <f>DE142</f>
        <v>0.95</v>
      </c>
      <c r="CC142" s="612">
        <f>DF142</f>
        <v>0.05</v>
      </c>
      <c r="CD142" s="612">
        <f>CZ134</f>
        <v>0</v>
      </c>
      <c r="CE142" s="612">
        <f>CZ135</f>
        <v>0</v>
      </c>
      <c r="CP142" s="118"/>
      <c r="DD142" s="670" t="s">
        <v>324</v>
      </c>
      <c r="DE142" s="577">
        <v>0.95</v>
      </c>
      <c r="DF142" s="577">
        <v>0.05</v>
      </c>
      <c r="DG142" s="1"/>
      <c r="DH142" s="1"/>
      <c r="DI142" s="1"/>
    </row>
    <row r="143" spans="1:129">
      <c r="A143" s="787" t="str">
        <f>Historico!A143</f>
        <v/>
      </c>
      <c r="B143" s="16"/>
      <c r="C143" s="55"/>
      <c r="D143" s="28"/>
      <c r="F143" s="55" t="str">
        <f>IF(IF(ResumenIndicadores!$F$11="Ft-1",B143,C143)=0,"",IF(ResumenIndicadores!$F$11="Ft-1",B143,C143))</f>
        <v/>
      </c>
      <c r="G143" s="9"/>
      <c r="H143" s="9"/>
      <c r="I143" s="9"/>
      <c r="J143" s="9"/>
      <c r="V143" s="250"/>
      <c r="AG143" s="252"/>
      <c r="AR143" s="1"/>
      <c r="AS143" s="252"/>
      <c r="BZ143" s="1"/>
      <c r="CA143" s="252"/>
      <c r="CP143" s="118"/>
      <c r="DY143" s="266"/>
    </row>
    <row r="144" spans="1:129">
      <c r="A144" s="787" t="str">
        <f>Historico!A144</f>
        <v/>
      </c>
      <c r="B144" s="16"/>
      <c r="C144" s="55"/>
      <c r="D144" s="28"/>
      <c r="F144" s="55" t="str">
        <f>IF(IF(ResumenIndicadores!$F$11="Ft-1",B144,C144)=0,"",IF(ResumenIndicadores!$F$11="Ft-1",B144,C144))</f>
        <v/>
      </c>
      <c r="G144" s="1"/>
      <c r="H144" s="1"/>
      <c r="I144" s="1"/>
      <c r="J144" s="1"/>
      <c r="M144" s="428" t="s">
        <v>576</v>
      </c>
      <c r="V144" s="250"/>
      <c r="X144" s="428" t="s">
        <v>576</v>
      </c>
      <c r="AG144" s="252"/>
      <c r="AI144" s="428" t="s">
        <v>577</v>
      </c>
      <c r="AR144" s="1"/>
      <c r="AS144" s="252"/>
      <c r="BQ144" s="428" t="s">
        <v>578</v>
      </c>
      <c r="BZ144" s="1"/>
      <c r="CA144" s="252"/>
      <c r="CP144" s="356"/>
      <c r="CQ144" s="250"/>
      <c r="CR144" s="250"/>
      <c r="CS144" s="250"/>
      <c r="CT144" s="250"/>
      <c r="CU144" s="250"/>
      <c r="CV144" s="250"/>
      <c r="CW144" s="250"/>
      <c r="CX144" s="428" t="s">
        <v>452</v>
      </c>
      <c r="DI144" s="250"/>
      <c r="DY144" s="266"/>
    </row>
    <row r="145" spans="1:129">
      <c r="A145" s="785" t="str">
        <f>Historico!A145</f>
        <v>C.3. DISTRIBUCIÓN - CORTE Y RECONEXIÓN (FAIM) - Res. Nº 159-2011-OS/CD</v>
      </c>
      <c r="B145" s="62" t="str">
        <f>+Historico!N145</f>
        <v/>
      </c>
      <c r="C145" s="62"/>
      <c r="D145" s="64"/>
      <c r="F145" s="62" t="str">
        <f>IF(IF(ResumenIndicadores!$F$11="Ft-1",B145,C145)=0,"",IF(ResumenIndicadores!$F$11="Ft-1",B145,C145))</f>
        <v/>
      </c>
      <c r="G145" s="1"/>
      <c r="H145" s="1"/>
      <c r="I145" s="1"/>
      <c r="J145" s="1"/>
      <c r="M145" s="428"/>
      <c r="V145" s="250"/>
      <c r="X145" s="428"/>
      <c r="AG145" s="252"/>
      <c r="AI145" s="428"/>
      <c r="AR145" s="1"/>
      <c r="AS145" s="252"/>
      <c r="BQ145" s="428"/>
      <c r="BZ145" s="1"/>
      <c r="CA145" s="252"/>
      <c r="CP145" s="356"/>
      <c r="CQ145" s="250"/>
      <c r="CR145" s="250"/>
      <c r="CS145" s="250"/>
      <c r="CT145" s="250"/>
      <c r="CU145" s="250"/>
      <c r="CV145" s="250"/>
      <c r="CW145" s="250"/>
      <c r="CY145" s="260" t="s">
        <v>10</v>
      </c>
      <c r="CZ145" s="568" t="s">
        <v>0</v>
      </c>
      <c r="DI145" s="250"/>
      <c r="DY145" s="266"/>
    </row>
    <row r="146" spans="1:129">
      <c r="A146" s="785" t="str">
        <f>Historico!A146</f>
        <v/>
      </c>
      <c r="B146" s="147"/>
      <c r="C146" s="62"/>
      <c r="D146" s="64"/>
      <c r="F146" s="62" t="str">
        <f>IF(IF(ResumenIndicadores!$F$11="Ft-1",B146,C146)=0,"",IF(ResumenIndicadores!$F$11="Ft-1",B146,C146))</f>
        <v/>
      </c>
      <c r="G146" s="1"/>
      <c r="H146" s="1"/>
      <c r="I146" s="1"/>
      <c r="J146" s="1"/>
      <c r="X146" s="580" t="s">
        <v>403</v>
      </c>
      <c r="Y146" s="278"/>
      <c r="Z146" s="278"/>
      <c r="AA146" s="278"/>
      <c r="AB146" s="618" t="s">
        <v>406</v>
      </c>
      <c r="AI146" s="580" t="s">
        <v>403</v>
      </c>
      <c r="AJ146" s="278"/>
      <c r="AK146" s="278"/>
      <c r="AL146" s="278"/>
      <c r="AM146" s="618" t="s">
        <v>406</v>
      </c>
      <c r="AR146" s="1"/>
      <c r="BQ146" s="580" t="s">
        <v>403</v>
      </c>
      <c r="BR146" s="278"/>
      <c r="BS146" s="278"/>
      <c r="BT146" s="278"/>
      <c r="BU146" s="618" t="s">
        <v>406</v>
      </c>
      <c r="BZ146" s="1"/>
      <c r="CP146" s="118"/>
      <c r="CQ146" s="250"/>
      <c r="CR146" s="250"/>
      <c r="CS146" s="250"/>
      <c r="CT146" s="250"/>
      <c r="CU146" s="250"/>
      <c r="CV146" s="250"/>
      <c r="CW146" s="250"/>
      <c r="CX146" s="243" t="s">
        <v>1</v>
      </c>
      <c r="CY146" s="271" t="s">
        <v>174</v>
      </c>
      <c r="CZ146" s="650">
        <v>199.037811</v>
      </c>
      <c r="DI146" s="250"/>
      <c r="DY146" s="266"/>
    </row>
    <row r="147" spans="1:129">
      <c r="A147" s="788" t="str">
        <f>Historico!A147</f>
        <v>a) Corte y Reconexión</v>
      </c>
      <c r="B147" s="17">
        <f>+Historico!N147</f>
        <v>1.0497000000000001</v>
      </c>
      <c r="C147" s="56">
        <f>+ROUND(AB147,4)</f>
        <v>1.0474000000000001</v>
      </c>
      <c r="D147" s="29">
        <f>+C147/B147-1</f>
        <v>-2.1911022196817731E-3</v>
      </c>
      <c r="F147" s="56">
        <f>IF(IF(ResumenIndicadores!$F$11="Ft-1",B147,C147)=0,"",IF(ResumenIndicadores!$F$11="Ft-1",B147,C147))</f>
        <v>1.0497000000000001</v>
      </c>
      <c r="G147" s="1"/>
      <c r="H147" s="1"/>
      <c r="I147" s="1"/>
      <c r="J147" s="1"/>
      <c r="X147" s="324" t="s">
        <v>402</v>
      </c>
      <c r="Y147" s="272" t="s">
        <v>304</v>
      </c>
      <c r="Z147" s="268"/>
      <c r="AA147" s="268"/>
      <c r="AB147" s="612">
        <f>AM147/BU147</f>
        <v>1.0473539221148287</v>
      </c>
      <c r="AI147" s="324" t="s">
        <v>402</v>
      </c>
      <c r="AJ147" s="272" t="s">
        <v>304</v>
      </c>
      <c r="AK147" s="268"/>
      <c r="AL147" s="268"/>
      <c r="AM147" s="612">
        <f>CZ147</f>
        <v>208.463032</v>
      </c>
      <c r="AR147" s="1"/>
      <c r="BQ147" s="324" t="s">
        <v>402</v>
      </c>
      <c r="BR147" s="272" t="s">
        <v>304</v>
      </c>
      <c r="BS147" s="268"/>
      <c r="BT147" s="268"/>
      <c r="BU147" s="612">
        <f>CZ146</f>
        <v>199.037811</v>
      </c>
      <c r="BZ147" s="1"/>
      <c r="CP147" s="118"/>
      <c r="CQ147" s="250"/>
      <c r="CR147" s="250"/>
      <c r="CS147" s="250"/>
      <c r="CT147" s="250"/>
      <c r="CU147" s="250"/>
      <c r="CV147" s="250"/>
      <c r="CW147" s="250"/>
      <c r="CX147" s="49" t="s">
        <v>4</v>
      </c>
      <c r="CY147" s="273" t="s">
        <v>702</v>
      </c>
      <c r="CZ147" s="434">
        <f>+'ALUMINIO-COBRE-TC-IPM'!H8</f>
        <v>208.463032</v>
      </c>
      <c r="DI147" s="250"/>
    </row>
    <row r="148" spans="1:129">
      <c r="G148" s="1"/>
      <c r="H148" s="1"/>
      <c r="I148" s="1"/>
      <c r="J148" s="1"/>
      <c r="W148" s="250"/>
      <c r="AH148" s="250"/>
      <c r="AR148" s="1"/>
      <c r="AT148" s="250"/>
      <c r="AU148" s="250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0"/>
      <c r="BF148" s="250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0"/>
      <c r="BZ148" s="1"/>
      <c r="CB148" s="250"/>
      <c r="CC148" s="250"/>
      <c r="CD148" s="250"/>
      <c r="CE148" s="250"/>
      <c r="CF148" s="250"/>
      <c r="CG148" s="250"/>
      <c r="CH148" s="250"/>
      <c r="CI148" s="250"/>
      <c r="CJ148" s="250"/>
      <c r="CK148" s="250"/>
      <c r="CL148" s="250"/>
      <c r="CM148" s="250"/>
      <c r="CN148" s="250"/>
      <c r="CO148" s="250"/>
      <c r="CP148" s="118"/>
      <c r="CQ148" s="250"/>
      <c r="CR148" s="250"/>
      <c r="CS148" s="250"/>
      <c r="CT148" s="250"/>
      <c r="CU148" s="250"/>
      <c r="CV148" s="250"/>
      <c r="CW148" s="250"/>
    </row>
    <row r="149" spans="1:129" ht="20.25">
      <c r="B149" s="1"/>
      <c r="C149" s="83" t="s">
        <v>337</v>
      </c>
      <c r="D149" s="672"/>
      <c r="E149" s="10"/>
      <c r="F149" s="10"/>
      <c r="G149" s="1"/>
      <c r="H149" s="1"/>
      <c r="I149" s="1"/>
      <c r="J149" s="1"/>
      <c r="W149" s="250"/>
      <c r="AH149" s="250"/>
      <c r="AT149" s="250"/>
      <c r="AU149" s="250"/>
      <c r="AV149" s="250"/>
      <c r="AW149" s="250"/>
      <c r="AX149" s="250"/>
      <c r="AY149" s="250"/>
      <c r="AZ149" s="250"/>
      <c r="BA149" s="250"/>
      <c r="BB149" s="250"/>
      <c r="BC149" s="250"/>
      <c r="BD149" s="250"/>
      <c r="BE149" s="250"/>
      <c r="BF149" s="250"/>
      <c r="BG149" s="250"/>
      <c r="BH149" s="250"/>
      <c r="BI149" s="250"/>
      <c r="BJ149" s="250"/>
      <c r="BK149" s="250"/>
      <c r="BL149" s="250"/>
      <c r="BM149" s="250"/>
      <c r="BN149" s="250"/>
      <c r="BO149" s="250"/>
      <c r="BP149" s="250"/>
      <c r="CB149" s="250"/>
      <c r="CC149" s="250"/>
      <c r="CD149" s="250"/>
      <c r="CE149" s="250"/>
      <c r="CF149" s="250"/>
      <c r="CG149" s="250"/>
      <c r="CH149" s="250"/>
      <c r="CI149" s="250"/>
      <c r="CJ149" s="250"/>
      <c r="CK149" s="250"/>
      <c r="CL149" s="250"/>
      <c r="CM149" s="250"/>
      <c r="CN149" s="250"/>
      <c r="CO149" s="250"/>
      <c r="CP149" s="118"/>
      <c r="CQ149" s="250"/>
      <c r="CR149" s="250"/>
      <c r="CS149" s="250"/>
      <c r="CT149" s="250"/>
      <c r="CU149" s="250"/>
      <c r="CV149" s="250"/>
      <c r="CW149" s="250"/>
    </row>
    <row r="150" spans="1:129" ht="15">
      <c r="B150" s="10"/>
      <c r="C150" s="10"/>
      <c r="D150" s="10"/>
      <c r="E150" s="10"/>
      <c r="F150" s="10"/>
      <c r="G150" s="1"/>
      <c r="H150" s="1"/>
      <c r="I150" s="1"/>
      <c r="J150" s="1"/>
      <c r="W150" s="250"/>
      <c r="AH150" s="250"/>
      <c r="AT150" s="250"/>
      <c r="AU150" s="250"/>
      <c r="AV150" s="250"/>
      <c r="AW150" s="250"/>
      <c r="AX150" s="250"/>
      <c r="AY150" s="250"/>
      <c r="AZ150" s="250"/>
      <c r="BA150" s="250"/>
      <c r="BB150" s="250"/>
      <c r="BC150" s="250"/>
      <c r="BD150" s="250"/>
      <c r="BE150" s="250"/>
      <c r="BF150" s="250"/>
      <c r="BG150" s="250"/>
      <c r="BH150" s="250"/>
      <c r="BI150" s="250"/>
      <c r="BJ150" s="250"/>
      <c r="BK150" s="250"/>
      <c r="BL150" s="250"/>
      <c r="BM150" s="250"/>
      <c r="BN150" s="250"/>
      <c r="BO150" s="250"/>
      <c r="BP150" s="250"/>
      <c r="CB150" s="250"/>
      <c r="CC150" s="250"/>
      <c r="CD150" s="250"/>
      <c r="CE150" s="250"/>
      <c r="CF150" s="250"/>
      <c r="CG150" s="250"/>
      <c r="CH150" s="250"/>
      <c r="CI150" s="250"/>
      <c r="CJ150" s="250"/>
      <c r="CK150" s="250"/>
      <c r="CL150" s="250"/>
      <c r="CM150" s="250"/>
      <c r="CN150" s="250"/>
      <c r="CO150" s="250"/>
      <c r="CP150" s="118"/>
      <c r="CQ150" s="250"/>
      <c r="CR150" s="250"/>
      <c r="CS150" s="250"/>
      <c r="CT150" s="250"/>
      <c r="CU150" s="250"/>
      <c r="CV150" s="250"/>
      <c r="CW150" s="250"/>
    </row>
    <row r="151" spans="1:129">
      <c r="D151" s="63"/>
      <c r="F151" s="9"/>
      <c r="G151" s="1"/>
      <c r="H151" s="1"/>
      <c r="I151" s="1"/>
      <c r="J151" s="1"/>
      <c r="W151" s="250"/>
      <c r="AH151" s="250"/>
      <c r="AT151" s="250"/>
      <c r="AU151" s="250"/>
      <c r="AV151" s="250"/>
      <c r="AW151" s="250"/>
      <c r="AX151" s="250"/>
      <c r="AY151" s="250"/>
      <c r="AZ151" s="250"/>
      <c r="BA151" s="250"/>
      <c r="BB151" s="250"/>
      <c r="BC151" s="250"/>
      <c r="BD151" s="250"/>
      <c r="BE151" s="250"/>
      <c r="BF151" s="250"/>
      <c r="BG151" s="250"/>
      <c r="BH151" s="250"/>
      <c r="BI151" s="250"/>
      <c r="BJ151" s="250"/>
      <c r="BK151" s="250"/>
      <c r="BL151" s="250"/>
      <c r="BM151" s="250"/>
      <c r="BN151" s="250"/>
      <c r="BO151" s="250"/>
      <c r="BP151" s="250"/>
      <c r="CB151" s="250"/>
      <c r="CC151" s="250"/>
      <c r="CD151" s="250"/>
      <c r="CE151" s="250"/>
      <c r="CF151" s="250"/>
      <c r="CG151" s="250"/>
      <c r="CH151" s="250"/>
      <c r="CI151" s="250"/>
      <c r="CJ151" s="250"/>
      <c r="CK151" s="250"/>
      <c r="CL151" s="250"/>
      <c r="CM151" s="250"/>
      <c r="CN151" s="250"/>
      <c r="CO151" s="250"/>
      <c r="CP151" s="118"/>
      <c r="CQ151" s="250"/>
      <c r="CR151" s="250"/>
      <c r="CS151" s="250"/>
      <c r="CT151" s="250"/>
      <c r="CU151" s="250"/>
      <c r="CV151" s="250"/>
      <c r="CW151" s="250"/>
      <c r="CX151" s="249"/>
      <c r="CY151" s="249"/>
    </row>
    <row r="152" spans="1:129">
      <c r="D152" s="63"/>
      <c r="F152" s="9"/>
      <c r="G152" s="1"/>
      <c r="H152" s="1"/>
      <c r="I152" s="1"/>
      <c r="J152" s="1"/>
      <c r="W152" s="250"/>
      <c r="AH152" s="250"/>
      <c r="AT152" s="250"/>
      <c r="AU152" s="250"/>
      <c r="AV152" s="250"/>
      <c r="AW152" s="250"/>
      <c r="AX152" s="250"/>
      <c r="AY152" s="250"/>
      <c r="AZ152" s="250"/>
      <c r="BA152" s="250"/>
      <c r="BB152" s="250"/>
      <c r="BC152" s="250"/>
      <c r="BD152" s="250"/>
      <c r="BE152" s="250"/>
      <c r="BF152" s="250"/>
      <c r="BG152" s="250"/>
      <c r="BH152" s="250"/>
      <c r="BI152" s="250"/>
      <c r="BJ152" s="250"/>
      <c r="BK152" s="250"/>
      <c r="BL152" s="250"/>
      <c r="BM152" s="250"/>
      <c r="BN152" s="250"/>
      <c r="BO152" s="250"/>
      <c r="BP152" s="250"/>
      <c r="CB152" s="250"/>
      <c r="CC152" s="250"/>
      <c r="CD152" s="250"/>
      <c r="CE152" s="250"/>
      <c r="CF152" s="250"/>
      <c r="CG152" s="250"/>
      <c r="CH152" s="250"/>
      <c r="CI152" s="250"/>
      <c r="CJ152" s="250"/>
      <c r="CK152" s="250"/>
      <c r="CL152" s="250"/>
      <c r="CM152" s="250"/>
      <c r="CN152" s="250"/>
      <c r="CO152" s="250"/>
      <c r="CP152" s="118"/>
      <c r="CQ152" s="250"/>
      <c r="CR152" s="250"/>
      <c r="CS152" s="250"/>
      <c r="CT152" s="250"/>
      <c r="CU152" s="250"/>
      <c r="CX152" s="249"/>
      <c r="CY152" s="249"/>
    </row>
    <row r="153" spans="1:129" ht="15">
      <c r="A153" s="1"/>
      <c r="B153" s="1"/>
      <c r="C153" s="1"/>
      <c r="D153" s="7"/>
      <c r="E153" s="1"/>
      <c r="F153" s="1"/>
      <c r="G153" s="1"/>
      <c r="H153" s="1"/>
      <c r="I153" s="1"/>
      <c r="J153" s="1"/>
      <c r="W153" s="250"/>
      <c r="AH153" s="250"/>
      <c r="AT153" s="250"/>
      <c r="AU153" s="250"/>
      <c r="AV153" s="250"/>
      <c r="AW153" s="250"/>
      <c r="AX153" s="250"/>
      <c r="AY153" s="250"/>
      <c r="AZ153" s="250"/>
      <c r="BA153" s="250"/>
      <c r="BB153" s="250"/>
      <c r="BC153" s="250"/>
      <c r="BD153" s="250"/>
      <c r="BE153" s="250"/>
      <c r="BF153" s="250"/>
      <c r="BG153" s="250"/>
      <c r="BH153" s="250"/>
      <c r="BI153" s="250"/>
      <c r="BJ153" s="250"/>
      <c r="BK153" s="250"/>
      <c r="BL153" s="250"/>
      <c r="BM153" s="250"/>
      <c r="BN153" s="250"/>
      <c r="BO153" s="250"/>
      <c r="BP153" s="250"/>
      <c r="CB153" s="250"/>
      <c r="CC153" s="250"/>
      <c r="CD153" s="250"/>
      <c r="CE153" s="250"/>
      <c r="CF153" s="250"/>
      <c r="CG153" s="250"/>
      <c r="CH153" s="250"/>
      <c r="CI153" s="250"/>
      <c r="CJ153" s="250"/>
      <c r="CK153" s="250"/>
      <c r="CL153" s="250"/>
      <c r="CM153" s="250"/>
      <c r="CN153" s="250"/>
      <c r="CO153" s="250"/>
      <c r="CP153" s="118"/>
    </row>
    <row r="154" spans="1:129" ht="15">
      <c r="A154" s="1"/>
      <c r="B154" s="1"/>
      <c r="C154" s="1"/>
      <c r="D154" s="7"/>
      <c r="E154" s="1"/>
      <c r="F154" s="1"/>
      <c r="G154" s="1"/>
      <c r="H154" s="1"/>
      <c r="I154" s="1"/>
      <c r="J154" s="1"/>
      <c r="M154" s="250"/>
      <c r="N154" s="250"/>
      <c r="O154" s="250"/>
      <c r="R154" s="250"/>
      <c r="S154" s="250"/>
      <c r="T154" s="250"/>
      <c r="U154" s="250"/>
      <c r="V154" s="250"/>
      <c r="W154" s="250"/>
      <c r="X154" s="250"/>
      <c r="Y154" s="250"/>
      <c r="Z154" s="250"/>
      <c r="AC154" s="252"/>
      <c r="AD154" s="252"/>
      <c r="AE154" s="252"/>
      <c r="AF154" s="252"/>
      <c r="AG154" s="252"/>
      <c r="AH154" s="250"/>
      <c r="AI154" s="250"/>
      <c r="AJ154" s="250"/>
      <c r="AK154" s="250"/>
      <c r="AN154" s="252"/>
      <c r="AO154" s="252"/>
      <c r="AP154" s="252"/>
      <c r="AQ154" s="252"/>
      <c r="AR154" s="252"/>
      <c r="AS154" s="252"/>
      <c r="AT154" s="250"/>
      <c r="AU154" s="250"/>
      <c r="AV154" s="250"/>
      <c r="AW154" s="250"/>
      <c r="AX154" s="250"/>
      <c r="AY154" s="250"/>
      <c r="AZ154" s="250"/>
      <c r="BA154" s="250"/>
      <c r="BB154" s="250"/>
      <c r="BC154" s="250"/>
      <c r="BD154" s="250"/>
      <c r="BE154" s="250"/>
      <c r="BF154" s="250"/>
      <c r="BG154" s="250"/>
      <c r="BH154" s="250"/>
      <c r="BI154" s="250"/>
      <c r="BJ154" s="250"/>
      <c r="BK154" s="250"/>
      <c r="BL154" s="250"/>
      <c r="BM154" s="250"/>
      <c r="BN154" s="250"/>
      <c r="BO154" s="250"/>
      <c r="BP154" s="250"/>
      <c r="BQ154" s="250"/>
      <c r="BR154" s="250"/>
      <c r="BS154" s="250"/>
      <c r="BV154" s="252"/>
      <c r="BW154" s="252"/>
      <c r="BX154" s="252"/>
      <c r="BY154" s="252"/>
      <c r="BZ154" s="252"/>
      <c r="CA154" s="252"/>
      <c r="CB154" s="250"/>
      <c r="CC154" s="250"/>
      <c r="CD154" s="250"/>
      <c r="CE154" s="250"/>
      <c r="CF154" s="250"/>
      <c r="CG154" s="250"/>
      <c r="CH154" s="250"/>
      <c r="CI154" s="250"/>
      <c r="CJ154" s="250"/>
      <c r="CK154" s="250"/>
      <c r="CL154" s="250"/>
      <c r="CM154" s="250"/>
      <c r="CN154" s="250"/>
      <c r="CO154" s="250"/>
      <c r="CP154" s="118"/>
    </row>
    <row r="155" spans="1:129" ht="15">
      <c r="A155" s="1"/>
      <c r="B155" s="1"/>
      <c r="C155" s="1"/>
      <c r="D155" s="7"/>
      <c r="E155" s="1"/>
      <c r="F155" s="1"/>
      <c r="G155" s="1"/>
      <c r="H155" s="1"/>
      <c r="I155" s="1"/>
      <c r="J155" s="1"/>
      <c r="P155" s="250"/>
      <c r="Q155" s="250"/>
      <c r="R155" s="250"/>
      <c r="V155" s="250"/>
      <c r="W155" s="250"/>
      <c r="AA155" s="250"/>
      <c r="AB155" s="252"/>
      <c r="AC155" s="252"/>
      <c r="AG155" s="252"/>
      <c r="AH155" s="250"/>
      <c r="AL155" s="250"/>
      <c r="AM155" s="252"/>
      <c r="AN155" s="252"/>
      <c r="AR155" s="252"/>
      <c r="AS155" s="252"/>
      <c r="AT155" s="250"/>
      <c r="AU155" s="250"/>
      <c r="AV155" s="250"/>
      <c r="AW155" s="250"/>
      <c r="AX155" s="250"/>
      <c r="AY155" s="250"/>
      <c r="AZ155" s="250"/>
      <c r="BA155" s="250"/>
      <c r="BB155" s="250"/>
      <c r="BC155" s="250"/>
      <c r="BD155" s="250"/>
      <c r="BE155" s="250"/>
      <c r="BF155" s="250"/>
      <c r="BG155" s="250"/>
      <c r="BH155" s="250"/>
      <c r="BI155" s="250"/>
      <c r="BJ155" s="250"/>
      <c r="BK155" s="250"/>
      <c r="BL155" s="250"/>
      <c r="BM155" s="250"/>
      <c r="BN155" s="250"/>
      <c r="BO155" s="250"/>
      <c r="BP155" s="250"/>
      <c r="BT155" s="250"/>
      <c r="BU155" s="252"/>
      <c r="BV155" s="252"/>
      <c r="BZ155" s="252"/>
      <c r="CA155" s="252"/>
      <c r="CB155" s="250"/>
      <c r="CC155" s="250"/>
      <c r="CD155" s="250"/>
      <c r="CE155" s="250"/>
      <c r="CF155" s="250"/>
      <c r="CG155" s="250"/>
      <c r="CH155" s="250"/>
      <c r="CI155" s="250"/>
      <c r="CJ155" s="250"/>
      <c r="CK155" s="250"/>
      <c r="CL155" s="250"/>
      <c r="CM155" s="250"/>
      <c r="CN155" s="250"/>
      <c r="CO155" s="250"/>
      <c r="CP155" s="118"/>
    </row>
    <row r="156" spans="1:129" ht="15">
      <c r="A156" s="1"/>
      <c r="B156" s="1"/>
      <c r="C156" s="1"/>
      <c r="D156" s="7"/>
      <c r="E156" s="1"/>
      <c r="F156" s="1"/>
      <c r="G156" s="1"/>
      <c r="H156" s="1"/>
      <c r="I156" s="1"/>
      <c r="J156" s="1"/>
    </row>
    <row r="157" spans="1:129" ht="15">
      <c r="A157" s="1"/>
      <c r="B157" s="1"/>
      <c r="C157" s="1"/>
      <c r="D157" s="7"/>
      <c r="E157" s="1"/>
      <c r="F157" s="1"/>
      <c r="G157" s="1"/>
      <c r="H157" s="1"/>
      <c r="I157" s="1"/>
      <c r="J157" s="1"/>
    </row>
    <row r="158" spans="1:129" ht="15">
      <c r="A158" s="1"/>
      <c r="B158" s="1"/>
      <c r="C158" s="1"/>
      <c r="D158" s="7"/>
      <c r="E158" s="1"/>
      <c r="F158" s="1"/>
      <c r="G158" s="1"/>
      <c r="H158" s="1"/>
      <c r="I158" s="1"/>
      <c r="J158" s="1"/>
    </row>
    <row r="159" spans="1:129" ht="15">
      <c r="A159" s="1"/>
      <c r="B159" s="1"/>
      <c r="C159" s="1"/>
      <c r="D159" s="7"/>
      <c r="E159" s="1"/>
      <c r="F159" s="1"/>
      <c r="G159" s="1"/>
      <c r="H159" s="1"/>
      <c r="I159" s="1"/>
      <c r="J159" s="1"/>
    </row>
    <row r="160" spans="1:129" ht="15">
      <c r="A160" s="1"/>
      <c r="B160" s="1"/>
      <c r="C160" s="1"/>
      <c r="D160" s="7"/>
      <c r="E160" s="1"/>
      <c r="F160" s="1"/>
      <c r="G160" s="1"/>
      <c r="H160" s="1"/>
      <c r="I160" s="1"/>
      <c r="J160" s="1"/>
    </row>
    <row r="161" spans="1:112" ht="15">
      <c r="A161" s="1"/>
      <c r="B161" s="1"/>
      <c r="C161" s="1"/>
      <c r="D161" s="7"/>
      <c r="E161" s="1"/>
      <c r="F161" s="1"/>
      <c r="G161" s="1"/>
      <c r="H161" s="1"/>
      <c r="I161" s="1"/>
      <c r="J161" s="1"/>
    </row>
    <row r="162" spans="1:112" ht="15">
      <c r="A162" s="1"/>
      <c r="B162" s="1"/>
      <c r="C162" s="1"/>
      <c r="D162" s="7"/>
      <c r="E162" s="1"/>
      <c r="F162" s="1"/>
      <c r="G162" s="1"/>
      <c r="H162" s="1"/>
      <c r="I162" s="1"/>
      <c r="J162" s="1"/>
    </row>
    <row r="163" spans="1:112" ht="15">
      <c r="A163" s="1"/>
      <c r="B163" s="1"/>
      <c r="C163" s="1"/>
      <c r="D163" s="7"/>
      <c r="E163" s="1"/>
      <c r="F163" s="1"/>
      <c r="G163" s="1"/>
      <c r="H163" s="1"/>
      <c r="I163" s="1"/>
      <c r="J163" s="1"/>
    </row>
    <row r="164" spans="1:112" ht="15">
      <c r="A164" s="1"/>
      <c r="B164" s="1"/>
      <c r="C164" s="1"/>
      <c r="D164" s="7"/>
      <c r="E164" s="1"/>
      <c r="F164" s="1"/>
      <c r="G164" s="1"/>
      <c r="H164" s="1"/>
      <c r="I164" s="1"/>
      <c r="J164" s="1"/>
      <c r="DF164" s="250"/>
      <c r="DG164" s="250"/>
      <c r="DH164" s="250"/>
    </row>
    <row r="165" spans="1:112" ht="15">
      <c r="A165" s="1"/>
      <c r="B165" s="1"/>
      <c r="C165" s="1"/>
      <c r="D165" s="7"/>
      <c r="E165" s="1"/>
      <c r="F165" s="1"/>
      <c r="G165" s="1"/>
      <c r="H165" s="1"/>
      <c r="I165" s="1"/>
      <c r="J165" s="1"/>
      <c r="CX165" s="249"/>
      <c r="CY165" s="249"/>
      <c r="CZ165" s="250"/>
      <c r="DA165" s="250"/>
    </row>
    <row r="166" spans="1:112" ht="15">
      <c r="A166" s="1"/>
      <c r="B166" s="1"/>
      <c r="C166" s="1"/>
      <c r="D166" s="7"/>
      <c r="E166" s="1"/>
      <c r="F166" s="1"/>
      <c r="G166" s="1"/>
      <c r="H166" s="1"/>
      <c r="I166" s="1"/>
      <c r="J166" s="1"/>
      <c r="CX166" s="249"/>
      <c r="CY166" s="249"/>
      <c r="CZ166" s="250"/>
      <c r="DA166" s="250"/>
    </row>
    <row r="167" spans="1:112" ht="15">
      <c r="A167" s="1"/>
      <c r="B167" s="1"/>
      <c r="C167" s="1"/>
      <c r="D167" s="7"/>
      <c r="E167" s="1"/>
      <c r="F167" s="1"/>
      <c r="G167" s="1"/>
      <c r="H167" s="1"/>
      <c r="I167" s="1"/>
      <c r="J167" s="1"/>
      <c r="CY167" s="249"/>
      <c r="CZ167" s="250"/>
      <c r="DA167" s="250"/>
    </row>
    <row r="168" spans="1:112" ht="15">
      <c r="A168" s="1"/>
      <c r="B168" s="1"/>
      <c r="C168" s="1"/>
      <c r="D168" s="7"/>
      <c r="E168" s="1"/>
      <c r="F168" s="1"/>
      <c r="G168" s="1"/>
      <c r="H168" s="1"/>
      <c r="I168" s="1"/>
      <c r="J168" s="1"/>
    </row>
    <row r="169" spans="1:112" ht="15">
      <c r="A169" s="1"/>
      <c r="B169" s="1"/>
      <c r="C169" s="1"/>
      <c r="D169" s="7"/>
      <c r="E169" s="1"/>
      <c r="F169" s="1"/>
      <c r="G169" s="1"/>
      <c r="H169" s="1"/>
      <c r="I169" s="1"/>
      <c r="J169" s="1"/>
    </row>
    <row r="170" spans="1:112" ht="15">
      <c r="A170" s="1"/>
      <c r="B170" s="1"/>
      <c r="C170" s="1"/>
      <c r="D170" s="7"/>
      <c r="E170" s="1"/>
      <c r="F170" s="1"/>
      <c r="G170" s="1"/>
      <c r="H170" s="1"/>
      <c r="I170" s="1"/>
      <c r="J170" s="1"/>
    </row>
    <row r="171" spans="1:112" ht="15">
      <c r="A171" s="1"/>
      <c r="B171" s="1"/>
      <c r="C171" s="1"/>
      <c r="D171" s="7"/>
      <c r="E171" s="1"/>
      <c r="F171" s="1"/>
      <c r="G171" s="1"/>
      <c r="H171" s="1"/>
      <c r="I171" s="1"/>
      <c r="J171" s="1"/>
      <c r="CX171" s="249"/>
      <c r="CY171" s="249"/>
      <c r="CZ171" s="250"/>
      <c r="DA171" s="250"/>
    </row>
    <row r="172" spans="1:112">
      <c r="A172" s="1"/>
      <c r="B172" s="1"/>
      <c r="C172" s="1"/>
      <c r="D172" s="7"/>
      <c r="E172" s="1"/>
      <c r="F172" s="1"/>
      <c r="CX172" s="249"/>
      <c r="CY172" s="249"/>
      <c r="CZ172" s="250"/>
      <c r="DA172" s="250"/>
    </row>
    <row r="173" spans="1:112">
      <c r="A173" s="1"/>
      <c r="B173" s="1"/>
      <c r="C173" s="1"/>
      <c r="D173" s="7"/>
      <c r="E173" s="1"/>
      <c r="F173" s="1"/>
      <c r="CX173" s="249"/>
      <c r="CY173" s="249"/>
      <c r="CZ173" s="250"/>
      <c r="DA173" s="250"/>
    </row>
    <row r="174" spans="1:112" ht="15">
      <c r="A174" s="1"/>
      <c r="B174" s="1"/>
      <c r="C174" s="1"/>
      <c r="D174" s="7"/>
      <c r="E174" s="1"/>
      <c r="F174" s="1"/>
      <c r="G174" s="1"/>
      <c r="H174" s="1"/>
      <c r="I174" s="1"/>
      <c r="J174" s="1"/>
      <c r="CX174" s="249"/>
      <c r="CY174" s="249"/>
      <c r="CZ174" s="250"/>
      <c r="DA174" s="250"/>
    </row>
    <row r="175" spans="1:112" ht="15">
      <c r="A175" s="1"/>
      <c r="B175" s="1"/>
      <c r="C175" s="1"/>
      <c r="D175" s="7"/>
      <c r="E175" s="1"/>
      <c r="F175" s="1"/>
      <c r="G175" s="1"/>
      <c r="H175" s="1"/>
      <c r="I175" s="1"/>
      <c r="J175" s="1"/>
      <c r="CX175" s="249"/>
      <c r="CY175" s="249"/>
      <c r="CZ175" s="250"/>
      <c r="DA175" s="250"/>
    </row>
    <row r="176" spans="1:112">
      <c r="A176" s="1"/>
      <c r="B176" s="1"/>
      <c r="C176" s="1"/>
      <c r="D176" s="7"/>
      <c r="E176" s="1"/>
      <c r="F176" s="1"/>
      <c r="CX176" s="249"/>
      <c r="CY176" s="249"/>
      <c r="CZ176" s="250"/>
      <c r="DA176" s="250"/>
    </row>
    <row r="177" spans="1:105">
      <c r="A177" s="1"/>
      <c r="B177" s="1"/>
      <c r="C177" s="1"/>
      <c r="D177" s="7"/>
      <c r="E177" s="1"/>
      <c r="F177" s="1"/>
      <c r="CX177" s="249"/>
      <c r="CY177" s="249"/>
      <c r="CZ177" s="250"/>
      <c r="DA177" s="250"/>
    </row>
    <row r="178" spans="1:105">
      <c r="A178" s="1"/>
      <c r="B178" s="1"/>
      <c r="C178" s="1"/>
      <c r="D178" s="7"/>
      <c r="E178" s="1"/>
      <c r="F178" s="1"/>
      <c r="CX178" s="249"/>
      <c r="CY178" s="249"/>
      <c r="CZ178" s="250"/>
      <c r="DA178" s="250"/>
    </row>
    <row r="179" spans="1:105">
      <c r="A179" s="1"/>
      <c r="B179" s="1"/>
      <c r="C179" s="1"/>
      <c r="D179" s="7"/>
      <c r="E179" s="1"/>
      <c r="F179" s="1"/>
      <c r="CX179" s="249"/>
      <c r="CY179" s="249"/>
      <c r="CZ179" s="250"/>
      <c r="DA179" s="250"/>
    </row>
    <row r="180" spans="1:105">
      <c r="A180" s="1"/>
      <c r="B180" s="1"/>
      <c r="C180" s="1"/>
      <c r="D180" s="7"/>
      <c r="E180" s="1"/>
      <c r="F180" s="1"/>
      <c r="CX180" s="249"/>
      <c r="CY180" s="249"/>
      <c r="CZ180" s="250"/>
      <c r="DA180" s="250"/>
    </row>
    <row r="181" spans="1:105">
      <c r="CX181" s="249"/>
      <c r="CY181" s="249"/>
      <c r="CZ181" s="250"/>
      <c r="DA181" s="250"/>
    </row>
    <row r="182" spans="1:105">
      <c r="CX182" s="249"/>
      <c r="CY182" s="249"/>
      <c r="CZ182" s="250"/>
      <c r="DA182" s="250"/>
    </row>
    <row r="183" spans="1:105">
      <c r="A183" s="1"/>
      <c r="B183" s="1"/>
      <c r="C183" s="1"/>
      <c r="D183" s="7"/>
      <c r="E183" s="1"/>
      <c r="F183" s="1"/>
      <c r="CX183" s="249"/>
      <c r="CY183" s="249"/>
      <c r="CZ183" s="250"/>
      <c r="DA183" s="250"/>
    </row>
    <row r="184" spans="1:105">
      <c r="A184" s="1"/>
      <c r="B184" s="1"/>
      <c r="C184" s="1"/>
      <c r="D184" s="7"/>
      <c r="E184" s="1"/>
      <c r="F184" s="1"/>
      <c r="CX184" s="249"/>
      <c r="CY184" s="249"/>
      <c r="CZ184" s="250"/>
      <c r="DA184" s="250"/>
    </row>
    <row r="185" spans="1:105">
      <c r="CX185" s="249"/>
      <c r="CY185" s="249"/>
      <c r="CZ185" s="250"/>
      <c r="DA185" s="250"/>
    </row>
  </sheetData>
  <mergeCells count="44">
    <mergeCell ref="M63:O77"/>
    <mergeCell ref="M78:M79"/>
    <mergeCell ref="N78:N79"/>
    <mergeCell ref="AI63:AK77"/>
    <mergeCell ref="AI78:AI79"/>
    <mergeCell ref="AJ78:AJ79"/>
    <mergeCell ref="M119:M120"/>
    <mergeCell ref="X63:Z77"/>
    <mergeCell ref="X78:X79"/>
    <mergeCell ref="Y78:Y79"/>
    <mergeCell ref="X80:X81"/>
    <mergeCell ref="Y80:Y81"/>
    <mergeCell ref="X95:X96"/>
    <mergeCell ref="X97:X98"/>
    <mergeCell ref="X106:X107"/>
    <mergeCell ref="X108:X109"/>
    <mergeCell ref="X117:X118"/>
    <mergeCell ref="X119:X120"/>
    <mergeCell ref="N80:N81"/>
    <mergeCell ref="M80:M81"/>
    <mergeCell ref="M95:M96"/>
    <mergeCell ref="M97:M98"/>
    <mergeCell ref="AI106:AI107"/>
    <mergeCell ref="M108:M109"/>
    <mergeCell ref="M117:M118"/>
    <mergeCell ref="M106:M107"/>
    <mergeCell ref="AI108:AI109"/>
    <mergeCell ref="AI117:AI118"/>
    <mergeCell ref="AI119:AI120"/>
    <mergeCell ref="BQ63:BS77"/>
    <mergeCell ref="BQ78:BQ79"/>
    <mergeCell ref="BR78:BR79"/>
    <mergeCell ref="BQ80:BQ81"/>
    <mergeCell ref="BR80:BR81"/>
    <mergeCell ref="BQ95:BQ96"/>
    <mergeCell ref="BQ97:BQ98"/>
    <mergeCell ref="BQ106:BQ107"/>
    <mergeCell ref="BQ108:BQ109"/>
    <mergeCell ref="BQ117:BQ118"/>
    <mergeCell ref="BQ119:BQ120"/>
    <mergeCell ref="AI80:AI81"/>
    <mergeCell ref="AJ80:AJ81"/>
    <mergeCell ref="AI95:AI96"/>
    <mergeCell ref="AI97:AI98"/>
  </mergeCells>
  <phoneticPr fontId="0" type="noConversion"/>
  <conditionalFormatting sqref="D89:D126">
    <cfRule type="cellIs" dxfId="85" priority="311" operator="equal">
      <formula>-0.015</formula>
    </cfRule>
    <cfRule type="cellIs" dxfId="84" priority="312" operator="equal">
      <formula>0.015</formula>
    </cfRule>
    <cfRule type="cellIs" dxfId="83" priority="313" operator="notBetween">
      <formula>-0.015</formula>
      <formula>0.015</formula>
    </cfRule>
  </conditionalFormatting>
  <conditionalFormatting sqref="D8:D11 D24:D35 D46:D86">
    <cfRule type="cellIs" dxfId="82" priority="314" operator="equal">
      <formula>-0.05</formula>
    </cfRule>
    <cfRule type="cellIs" dxfId="81" priority="315" operator="equal">
      <formula>0.05</formula>
    </cfRule>
    <cfRule type="cellIs" dxfId="80" priority="316" operator="notBetween">
      <formula>-0.05</formula>
      <formula>0.05</formula>
    </cfRule>
  </conditionalFormatting>
  <conditionalFormatting sqref="D12:D22">
    <cfRule type="cellIs" dxfId="79" priority="295" operator="notBetween">
      <formula>-0.015</formula>
      <formula>0.015</formula>
    </cfRule>
    <cfRule type="cellIs" dxfId="78" priority="296" operator="equal">
      <formula>0.015</formula>
    </cfRule>
    <cfRule type="cellIs" dxfId="77" priority="297" operator="equal">
      <formula>-0.015</formula>
    </cfRule>
  </conditionalFormatting>
  <conditionalFormatting sqref="D23">
    <cfRule type="cellIs" dxfId="76" priority="292" operator="notBetween">
      <formula>-0.01</formula>
      <formula>0.01</formula>
    </cfRule>
    <cfRule type="cellIs" dxfId="75" priority="293" operator="equal">
      <formula>-0.01</formula>
    </cfRule>
    <cfRule type="cellIs" dxfId="74" priority="294" operator="equal">
      <formula>0.01</formula>
    </cfRule>
  </conditionalFormatting>
  <conditionalFormatting sqref="D40:D45">
    <cfRule type="cellIs" dxfId="73" priority="285" operator="equal">
      <formula>-0.05</formula>
    </cfRule>
    <cfRule type="cellIs" dxfId="72" priority="286" operator="equal">
      <formula>0.05</formula>
    </cfRule>
    <cfRule type="cellIs" dxfId="71" priority="287" operator="notBetween">
      <formula>-0.05</formula>
      <formula>0.05</formula>
    </cfRule>
  </conditionalFormatting>
  <conditionalFormatting sqref="D39">
    <cfRule type="cellIs" dxfId="70" priority="278" operator="equal">
      <formula>-0.05</formula>
    </cfRule>
    <cfRule type="cellIs" dxfId="69" priority="279" operator="equal">
      <formula>0.05</formula>
    </cfRule>
    <cfRule type="cellIs" dxfId="68" priority="280" operator="notBetween">
      <formula>-0.05</formula>
      <formula>0.05</formula>
    </cfRule>
  </conditionalFormatting>
  <conditionalFormatting sqref="D36:D38">
    <cfRule type="cellIs" dxfId="67" priority="126" operator="equal">
      <formula>-0.05</formula>
    </cfRule>
    <cfRule type="cellIs" dxfId="66" priority="127" operator="equal">
      <formula>0.05</formula>
    </cfRule>
    <cfRule type="cellIs" dxfId="65" priority="128" operator="notBetween">
      <formula>-0.05</formula>
      <formula>0.05</formula>
    </cfRule>
  </conditionalFormatting>
  <conditionalFormatting sqref="CX88:DJ88 DC113 DI113 DJ91:DJ126 DC117:DC122 CX113:DB122 CX91:DI112 DH17:DJ17 M143:W143 CZ130:DC132 N144:W144 CV145:CW148 AF143:AH147 M145:X145 CX144:CY144 CZ144:DB148 M146:AB147 AX127:BP142 CP129:DB129 DD137 DD139 DJ143 CX133:DB135 CV149:DB149 DG144:DJ149 DC133 DD127:DD135 CP127:DC128 DE127:DF127 AT128:AU128 M1:BP7 M8:AR11 DG8:DJ16 M23:AR24 CZ63:DJ64 CX89:CX90 CZ89:DJ90 CZ26:DJ28 M25:BP85 CZ31:DJ33 CZ125:DD126 M12:Z22 AB12:AK22 AM12:AR22 M129:AH142 AQ129:AQ145 M86:AQ128 AS86:AS88 M148:AQ148 AS8:BP24 CP123:DD124 CP125:CX126 CP88:CW122 CP145:CU149 CP130:CW144 AS143:BP148 AT86:BP99 M149:BP1048576 BH100:BP109 AS110:BP110 AS99 AS121:AS127 AT121:BP126 BH111:BP120 CP8:DD12 CP31:CX33 CP26:CX28 CP63:CX64 CP65:DJ87 CP34:DJ62 CP29:DJ30 CP1:DJ7 CP25:DJ25 CP150:DJ1048576 CP21:CW24 CP13:CW16 CY13:DD16 CY21:DC24 DD18:DJ24 CP17:DC20">
    <cfRule type="cellIs" dxfId="64" priority="110" operator="equal">
      <formula>0</formula>
    </cfRule>
  </conditionalFormatting>
  <conditionalFormatting sqref="X144">
    <cfRule type="cellIs" dxfId="63" priority="109" operator="equal">
      <formula>0</formula>
    </cfRule>
  </conditionalFormatting>
  <conditionalFormatting sqref="CY130">
    <cfRule type="cellIs" dxfId="62" priority="106" operator="equal">
      <formula>0</formula>
    </cfRule>
  </conditionalFormatting>
  <conditionalFormatting sqref="CX130:CX132">
    <cfRule type="cellIs" dxfId="61" priority="105" operator="equal">
      <formula>0</formula>
    </cfRule>
  </conditionalFormatting>
  <conditionalFormatting sqref="M144">
    <cfRule type="cellIs" dxfId="60" priority="99" operator="equal">
      <formula>0</formula>
    </cfRule>
  </conditionalFormatting>
  <conditionalFormatting sqref="CX145:CX147">
    <cfRule type="cellIs" dxfId="59" priority="92" operator="equal">
      <formula>0</formula>
    </cfRule>
  </conditionalFormatting>
  <conditionalFormatting sqref="DF131">
    <cfRule type="cellIs" dxfId="58" priority="54" operator="equal">
      <formula>0</formula>
    </cfRule>
  </conditionalFormatting>
  <conditionalFormatting sqref="CY145">
    <cfRule type="cellIs" dxfId="57" priority="93" operator="equal">
      <formula>0</formula>
    </cfRule>
  </conditionalFormatting>
  <conditionalFormatting sqref="DF140:DF142">
    <cfRule type="cellIs" dxfId="56" priority="57" operator="equal">
      <formula>0</formula>
    </cfRule>
  </conditionalFormatting>
  <conditionalFormatting sqref="DE132:DE142">
    <cfRule type="cellIs" dxfId="55" priority="59" operator="equal">
      <formula>0</formula>
    </cfRule>
  </conditionalFormatting>
  <conditionalFormatting sqref="DE130:DE131">
    <cfRule type="cellIs" dxfId="54" priority="58" operator="equal">
      <formula>0</formula>
    </cfRule>
  </conditionalFormatting>
  <conditionalFormatting sqref="CX136:DB137">
    <cfRule type="cellIs" dxfId="53" priority="85" operator="equal">
      <formula>0</formula>
    </cfRule>
  </conditionalFormatting>
  <conditionalFormatting sqref="DF130">
    <cfRule type="cellIs" dxfId="52" priority="56" operator="equal">
      <formula>0</formula>
    </cfRule>
  </conditionalFormatting>
  <conditionalFormatting sqref="DF132:DF139">
    <cfRule type="cellIs" dxfId="51" priority="55" operator="equal">
      <formula>0</formula>
    </cfRule>
  </conditionalFormatting>
  <conditionalFormatting sqref="AS130:AW132 AS134:AW142 AT133:AW133">
    <cfRule type="cellIs" dxfId="50" priority="78" operator="equal">
      <formula>0</formula>
    </cfRule>
  </conditionalFormatting>
  <conditionalFormatting sqref="AS128:AS129">
    <cfRule type="cellIs" dxfId="49" priority="76" operator="equal">
      <formula>0</formula>
    </cfRule>
  </conditionalFormatting>
  <conditionalFormatting sqref="CY131:CY132">
    <cfRule type="cellIs" dxfId="48" priority="46" operator="equal">
      <formula>0</formula>
    </cfRule>
  </conditionalFormatting>
  <conditionalFormatting sqref="AV129">
    <cfRule type="cellIs" dxfId="47" priority="70" operator="equal">
      <formula>0</formula>
    </cfRule>
  </conditionalFormatting>
  <conditionalFormatting sqref="AT129:AU129">
    <cfRule type="cellIs" dxfId="46" priority="69" operator="equal">
      <formula>0</formula>
    </cfRule>
  </conditionalFormatting>
  <conditionalFormatting sqref="AW129">
    <cfRule type="cellIs" dxfId="45" priority="68" operator="equal">
      <formula>0</formula>
    </cfRule>
  </conditionalFormatting>
  <conditionalFormatting sqref="DE128:DF128">
    <cfRule type="cellIs" dxfId="44" priority="60" operator="equal">
      <formula>0</formula>
    </cfRule>
  </conditionalFormatting>
  <conditionalFormatting sqref="AV128">
    <cfRule type="cellIs" dxfId="43" priority="51" operator="equal">
      <formula>0</formula>
    </cfRule>
  </conditionalFormatting>
  <conditionalFormatting sqref="AW128">
    <cfRule type="cellIs" dxfId="42" priority="52" operator="equal">
      <formula>0</formula>
    </cfRule>
  </conditionalFormatting>
  <conditionalFormatting sqref="CY125:CY126">
    <cfRule type="cellIs" dxfId="41" priority="36" operator="equal">
      <formula>0</formula>
    </cfRule>
  </conditionalFormatting>
  <conditionalFormatting sqref="CY27:CY28">
    <cfRule type="cellIs" dxfId="40" priority="40" operator="equal">
      <formula>0</formula>
    </cfRule>
  </conditionalFormatting>
  <conditionalFormatting sqref="AI145 AI146:AM147 AI129:AP142">
    <cfRule type="cellIs" dxfId="39" priority="32" operator="equal">
      <formula>0</formula>
    </cfRule>
  </conditionalFormatting>
  <conditionalFormatting sqref="CY26">
    <cfRule type="cellIs" dxfId="38" priority="42" operator="equal">
      <formula>0</formula>
    </cfRule>
  </conditionalFormatting>
  <conditionalFormatting sqref="CY31">
    <cfRule type="cellIs" dxfId="37" priority="41" operator="equal">
      <formula>0</formula>
    </cfRule>
  </conditionalFormatting>
  <conditionalFormatting sqref="CY32:CY33">
    <cfRule type="cellIs" dxfId="36" priority="39" operator="equal">
      <formula>0</formula>
    </cfRule>
  </conditionalFormatting>
  <conditionalFormatting sqref="CY63:CY64">
    <cfRule type="cellIs" dxfId="35" priority="38" operator="equal">
      <formula>0</formula>
    </cfRule>
  </conditionalFormatting>
  <conditionalFormatting sqref="CY89:CY90">
    <cfRule type="cellIs" dxfId="34" priority="37" operator="equal">
      <formula>0</formula>
    </cfRule>
  </conditionalFormatting>
  <conditionalFormatting sqref="CY146:CY147">
    <cfRule type="cellIs" dxfId="33" priority="35" operator="equal">
      <formula>0</formula>
    </cfRule>
  </conditionalFormatting>
  <conditionalFormatting sqref="AA12:AA22">
    <cfRule type="cellIs" dxfId="32" priority="34" operator="equal">
      <formula>0</formula>
    </cfRule>
  </conditionalFormatting>
  <conditionalFormatting sqref="AL12:AL22">
    <cfRule type="cellIs" dxfId="31" priority="33" operator="equal">
      <formula>0</formula>
    </cfRule>
  </conditionalFormatting>
  <conditionalFormatting sqref="AI144">
    <cfRule type="cellIs" dxfId="30" priority="31" operator="equal">
      <formula>0</formula>
    </cfRule>
  </conditionalFormatting>
  <conditionalFormatting sqref="AS100:BG109">
    <cfRule type="cellIs" dxfId="29" priority="30" operator="equal">
      <formula>0</formula>
    </cfRule>
  </conditionalFormatting>
  <conditionalFormatting sqref="AS89:AS98">
    <cfRule type="cellIs" dxfId="28" priority="29" operator="equal">
      <formula>0</formula>
    </cfRule>
  </conditionalFormatting>
  <conditionalFormatting sqref="AS111:BG120">
    <cfRule type="cellIs" dxfId="27" priority="28" operator="equal">
      <formula>0</formula>
    </cfRule>
  </conditionalFormatting>
  <conditionalFormatting sqref="CX24">
    <cfRule type="cellIs" dxfId="26" priority="1" operator="equal">
      <formula>0</formula>
    </cfRule>
  </conditionalFormatting>
  <conditionalFormatting sqref="AS133">
    <cfRule type="cellIs" dxfId="25" priority="26" operator="equal">
      <formula>0</formula>
    </cfRule>
  </conditionalFormatting>
  <conditionalFormatting sqref="CF127:CO142 CB128:CC128 BQ1:CO7 BQ8:BZ11 BQ23:BZ24 BQ12:BS22 BU12:BZ22 BY129:BY145 BQ86:BY128 CA86:CA88 BQ148:BY148 CA8:CO24 CA143:CO148 CB86:CO99 BQ149:CO1048576 CA110:CO110 CA99 CA121:CA127 CB121:CO126 BQ25:CO85">
    <cfRule type="cellIs" dxfId="24" priority="25" operator="equal">
      <formula>0</formula>
    </cfRule>
  </conditionalFormatting>
  <conditionalFormatting sqref="CA130:CE132 CA134:CE142 CB133:CE133">
    <cfRule type="cellIs" dxfId="23" priority="24" operator="equal">
      <formula>0</formula>
    </cfRule>
  </conditionalFormatting>
  <conditionalFormatting sqref="CA128:CA129">
    <cfRule type="cellIs" dxfId="22" priority="23" operator="equal">
      <formula>0</formula>
    </cfRule>
  </conditionalFormatting>
  <conditionalFormatting sqref="CD129">
    <cfRule type="cellIs" dxfId="21" priority="22" operator="equal">
      <formula>0</formula>
    </cfRule>
  </conditionalFormatting>
  <conditionalFormatting sqref="CB129:CC129">
    <cfRule type="cellIs" dxfId="20" priority="21" operator="equal">
      <formula>0</formula>
    </cfRule>
  </conditionalFormatting>
  <conditionalFormatting sqref="CE129">
    <cfRule type="cellIs" dxfId="19" priority="20" operator="equal">
      <formula>0</formula>
    </cfRule>
  </conditionalFormatting>
  <conditionalFormatting sqref="CD128">
    <cfRule type="cellIs" dxfId="18" priority="18" operator="equal">
      <formula>0</formula>
    </cfRule>
  </conditionalFormatting>
  <conditionalFormatting sqref="CE128">
    <cfRule type="cellIs" dxfId="17" priority="19" operator="equal">
      <formula>0</formula>
    </cfRule>
  </conditionalFormatting>
  <conditionalFormatting sqref="BQ145 BQ146:BU147 BQ129:BX142">
    <cfRule type="cellIs" dxfId="16" priority="16" operator="equal">
      <formula>0</formula>
    </cfRule>
  </conditionalFormatting>
  <conditionalFormatting sqref="BT12:BT22">
    <cfRule type="cellIs" dxfId="15" priority="17" operator="equal">
      <formula>0</formula>
    </cfRule>
  </conditionalFormatting>
  <conditionalFormatting sqref="BQ144">
    <cfRule type="cellIs" dxfId="14" priority="15" operator="equal">
      <formula>0</formula>
    </cfRule>
  </conditionalFormatting>
  <conditionalFormatting sqref="CA100:CO109">
    <cfRule type="cellIs" dxfId="13" priority="14" operator="equal">
      <formula>0</formula>
    </cfRule>
  </conditionalFormatting>
  <conditionalFormatting sqref="CA89:CA98">
    <cfRule type="cellIs" dxfId="12" priority="13" operator="equal">
      <formula>0</formula>
    </cfRule>
  </conditionalFormatting>
  <conditionalFormatting sqref="CA111:CO120">
    <cfRule type="cellIs" dxfId="11" priority="12" operator="equal">
      <formula>0</formula>
    </cfRule>
  </conditionalFormatting>
  <conditionalFormatting sqref="CA133">
    <cfRule type="cellIs" dxfId="10" priority="11" operator="equal">
      <formula>0</formula>
    </cfRule>
  </conditionalFormatting>
  <conditionalFormatting sqref="CX13">
    <cfRule type="cellIs" dxfId="9" priority="10" operator="equal">
      <formula>0</formula>
    </cfRule>
  </conditionalFormatting>
  <conditionalFormatting sqref="CX16">
    <cfRule type="cellIs" dxfId="8" priority="5" operator="equal">
      <formula>0</formula>
    </cfRule>
  </conditionalFormatting>
  <conditionalFormatting sqref="CX14">
    <cfRule type="cellIs" dxfId="7" priority="8" operator="equal">
      <formula>0</formula>
    </cfRule>
  </conditionalFormatting>
  <conditionalFormatting sqref="CX22">
    <cfRule type="cellIs" dxfId="6" priority="3" operator="equal">
      <formula>0</formula>
    </cfRule>
  </conditionalFormatting>
  <conditionalFormatting sqref="CX15">
    <cfRule type="cellIs" dxfId="5" priority="6" operator="equal">
      <formula>0</formula>
    </cfRule>
  </conditionalFormatting>
  <conditionalFormatting sqref="CX21">
    <cfRule type="cellIs" dxfId="4" priority="4" operator="equal">
      <formula>0</formula>
    </cfRule>
  </conditionalFormatting>
  <conditionalFormatting sqref="CX23">
    <cfRule type="cellIs" dxfId="3" priority="2" operator="equal">
      <formula>0</formula>
    </cfRule>
  </conditionalFormatting>
  <hyperlinks>
    <hyperlink ref="DA66" r:id="rId1" display="http://srvapp05.osinerg.gob.pe/portal/server.pt/gateway/PTARGS_0_2253286_0_0_18/000333_Reg_000100_Platts_Metals_Week.pdf"/>
    <hyperlink ref="DA88" r:id="rId2" display="http://srvapp05.osinerg.gob.pe/portal/server.pt/gateway/PTARGS_0_2253274_0_0_18/000333_Reg_000096_Platts_Metals_Week.pdf"/>
  </hyperlinks>
  <printOptions horizontalCentered="1"/>
  <pageMargins left="0.78740157480314965" right="0.78740157480314965" top="0.55118110236220474" bottom="0.55118110236220474" header="0" footer="0"/>
  <pageSetup paperSize="9" scale="50" fitToHeight="2" orientation="portrait" r:id="rId3"/>
  <headerFooter alignWithMargins="0">
    <oddFooter>&amp;RPágina &amp;P de &amp;N</oddFooter>
  </headerFooter>
  <rowBreaks count="1" manualBreakCount="1">
    <brk id="85" max="5" man="1"/>
  </rowBreaks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N190"/>
  <sheetViews>
    <sheetView showGridLines="0" zoomScaleNormal="100" workbookViewId="0"/>
  </sheetViews>
  <sheetFormatPr baseColWidth="10" defaultColWidth="8.88671875" defaultRowHeight="15"/>
  <cols>
    <col min="1" max="1" width="1.5546875" style="463" customWidth="1"/>
    <col min="2" max="2" width="15" style="177" customWidth="1"/>
    <col min="3" max="3" width="16.33203125" style="177" customWidth="1"/>
    <col min="4" max="4" width="13.33203125" style="177" customWidth="1"/>
    <col min="5" max="5" width="14.109375" style="177" bestFit="1" customWidth="1"/>
    <col min="6" max="6" width="13.6640625" style="177" customWidth="1"/>
    <col min="7" max="7" width="15.5546875" style="177" customWidth="1"/>
    <col min="8" max="8" width="16.44140625" style="177" customWidth="1"/>
    <col min="9" max="9" width="2.88671875" style="177" customWidth="1"/>
    <col min="10" max="10" width="12.88671875" style="177" customWidth="1"/>
    <col min="11" max="11" width="13.77734375" style="177" customWidth="1"/>
    <col min="12" max="12" width="1.44140625" style="177" customWidth="1"/>
    <col min="13" max="13" width="15.88671875" style="177" bestFit="1" customWidth="1"/>
    <col min="14" max="14" width="15.21875" style="177" customWidth="1"/>
    <col min="15" max="15" width="13" style="177" customWidth="1"/>
    <col min="16" max="16" width="8.88671875" style="177"/>
    <col min="17" max="17" width="16.77734375" style="177" customWidth="1"/>
    <col min="18" max="18" width="20.88671875" style="177" customWidth="1"/>
    <col min="19" max="19" width="11.109375" style="177" customWidth="1"/>
    <col min="20" max="20" width="10.109375" style="177" bestFit="1" customWidth="1"/>
    <col min="21" max="26" width="8.88671875" style="177"/>
    <col min="27" max="27" width="15.6640625" style="177" customWidth="1"/>
    <col min="28" max="16384" width="8.88671875" style="177"/>
  </cols>
  <sheetData>
    <row r="1" spans="2:13" ht="23.25">
      <c r="C1" s="188" t="s">
        <v>655</v>
      </c>
      <c r="D1" s="185"/>
      <c r="E1" s="185"/>
      <c r="F1" s="185"/>
      <c r="G1" s="185"/>
      <c r="H1" s="185"/>
      <c r="I1" s="185"/>
      <c r="J1" s="185"/>
      <c r="L1" s="185"/>
    </row>
    <row r="2" spans="2:13">
      <c r="B2" s="186"/>
      <c r="C2" s="186"/>
      <c r="K2" s="186"/>
      <c r="L2" s="186"/>
    </row>
    <row r="3" spans="2:13" ht="20.25">
      <c r="C3" s="395" t="str">
        <f>+CONCATENATE("Actualizado al ",TEXT(Historico!O5,"dd/mmmm/yyyy"))</f>
        <v>Actualizado al 04/diciembre/2012</v>
      </c>
      <c r="D3" s="395"/>
      <c r="E3" s="395"/>
      <c r="F3" s="395"/>
      <c r="G3" s="395"/>
      <c r="H3" s="395"/>
      <c r="I3" s="185"/>
      <c r="J3" s="185"/>
      <c r="L3" s="395"/>
    </row>
    <row r="4" spans="2:13" ht="20.25"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2:13" ht="18.75">
      <c r="E5" s="187" t="s">
        <v>623</v>
      </c>
      <c r="F5" s="187" t="s">
        <v>623</v>
      </c>
      <c r="G5" s="187" t="s">
        <v>624</v>
      </c>
      <c r="H5" s="187" t="s">
        <v>624</v>
      </c>
      <c r="I5" s="542" t="s">
        <v>623</v>
      </c>
      <c r="J5" s="185"/>
    </row>
    <row r="6" spans="2:13" ht="15.75">
      <c r="C6" s="446"/>
      <c r="D6" s="447" t="s">
        <v>339</v>
      </c>
      <c r="E6" s="448">
        <f>IF(DAY(Historico!O5)=1,DATE(YEAR(Historico!O5),MONTH(Historico!O5)-3,DAY(Historico!O5)),DATE(YEAR(Historico!O5),MONTH(Historico!O5)-2,DAY(Historico!O5)-3))</f>
        <v>41183</v>
      </c>
      <c r="F6" s="448">
        <f>IF(DAY(Historico!O5)=1,DATE(YEAR(Historico!O5),MONTH(Historico!O5)-3,DAY(Historico!O5)),DATE(YEAR(Historico!O5),MONTH(Historico!O5)-2,DAY(Historico!O5)-3))</f>
        <v>41183</v>
      </c>
      <c r="G6" s="448">
        <f>IF(DAY(Historico!O5)=1,DATE(YEAR(Historico!O5),MONTH(Historico!O5)-2,DAY(Historico!O5)),DATE(YEAR(Historico!O5),MONTH(Historico!O5)-1,DAY(Historico!O5)-3))</f>
        <v>41214</v>
      </c>
      <c r="H6" s="448">
        <f>IF(DAY(Historico!O5)=1,DATE(YEAR(Historico!O5),MONTH(Historico!O5)-2,DAY(Historico!O5)),DATE(YEAR(Historico!O5),MONTH(Historico!O5)-1,DAY(Historico!O5)-3))</f>
        <v>41214</v>
      </c>
      <c r="I6" s="541">
        <f>IF(AND(DAY(Historico!O5)=1,MONTH(Historico!O5)=5),H6,IF(DAY(Historico!O5)=1,DATE(YEAR(Historico!O5),MONTH(Historico!O5)-3,DAY(Historico!O5)),DATE(YEAR(Historico!O5),MONTH(Historico!O5)-2,DAY(Historico!O5)-3)))</f>
        <v>41183</v>
      </c>
      <c r="J6" s="472"/>
    </row>
    <row r="7" spans="2:13" ht="15.75">
      <c r="C7" s="179" t="s">
        <v>270</v>
      </c>
      <c r="D7" s="180" t="s">
        <v>340</v>
      </c>
      <c r="E7" s="178" t="s">
        <v>182</v>
      </c>
      <c r="F7" s="178" t="s">
        <v>86</v>
      </c>
      <c r="G7" s="178" t="s">
        <v>11</v>
      </c>
      <c r="H7" s="178" t="s">
        <v>0</v>
      </c>
      <c r="I7" s="541" t="s">
        <v>371</v>
      </c>
      <c r="J7" s="472"/>
    </row>
    <row r="8" spans="2:13" ht="24.75" customHeight="1">
      <c r="C8" s="181">
        <f>+Historico!O5</f>
        <v>41247</v>
      </c>
      <c r="D8" s="182">
        <v>41213</v>
      </c>
      <c r="E8" s="790">
        <f>+K12</f>
        <v>2025.2735769230769</v>
      </c>
      <c r="F8" s="791">
        <f>+K78</f>
        <v>358.5916666666667</v>
      </c>
      <c r="G8" s="791">
        <f>G97</f>
        <v>2.5790000000000002</v>
      </c>
      <c r="H8" s="791">
        <f>E138</f>
        <v>208.463032</v>
      </c>
      <c r="I8" s="792">
        <f>K138</f>
        <v>208.93420599999999</v>
      </c>
      <c r="J8" s="792"/>
    </row>
    <row r="11" spans="2:13" ht="20.25">
      <c r="B11" s="450" t="s">
        <v>184</v>
      </c>
      <c r="C11" s="450"/>
      <c r="D11" s="424"/>
      <c r="E11" s="450"/>
      <c r="F11" s="424"/>
      <c r="G11" s="424"/>
      <c r="H11" s="424"/>
      <c r="J11" s="485" t="s">
        <v>696</v>
      </c>
      <c r="K11" s="176"/>
    </row>
    <row r="12" spans="2:13">
      <c r="B12" s="424" t="s">
        <v>658</v>
      </c>
      <c r="C12" s="424"/>
      <c r="D12" s="424"/>
      <c r="E12" s="424"/>
      <c r="F12" s="424"/>
      <c r="G12" s="424"/>
      <c r="H12" s="424"/>
      <c r="J12" s="483">
        <f>E6</f>
        <v>41183</v>
      </c>
      <c r="K12" s="484">
        <f>AVERAGE(K15:K66)</f>
        <v>2025.2735769230769</v>
      </c>
    </row>
    <row r="13" spans="2:13">
      <c r="B13" s="424" t="s">
        <v>660</v>
      </c>
      <c r="C13" s="424"/>
      <c r="D13" s="424"/>
      <c r="E13" s="424"/>
      <c r="F13" s="424"/>
      <c r="G13" s="424"/>
      <c r="H13" s="424"/>
    </row>
    <row r="14" spans="2:13" ht="31.5">
      <c r="J14" s="423" t="s">
        <v>666</v>
      </c>
      <c r="K14" s="500" t="s">
        <v>662</v>
      </c>
    </row>
    <row r="15" spans="2:13">
      <c r="B15" s="458"/>
      <c r="C15" s="459"/>
      <c r="D15" s="459"/>
      <c r="E15" s="459"/>
      <c r="F15" s="459"/>
      <c r="G15" s="459"/>
      <c r="H15" s="460"/>
      <c r="I15" s="463"/>
      <c r="J15" s="522">
        <f t="shared" ref="J15:J62" si="0">+J16-7</f>
        <v>40851</v>
      </c>
      <c r="K15" s="523">
        <v>2126.9</v>
      </c>
      <c r="M15" s="725"/>
    </row>
    <row r="16" spans="2:13">
      <c r="B16" s="461"/>
      <c r="C16" s="463"/>
      <c r="D16" s="463"/>
      <c r="E16" s="463"/>
      <c r="F16" s="463"/>
      <c r="G16" s="463"/>
      <c r="H16" s="464"/>
      <c r="I16" s="463"/>
      <c r="J16" s="524">
        <f t="shared" si="0"/>
        <v>40858</v>
      </c>
      <c r="K16" s="525">
        <v>2109.1</v>
      </c>
      <c r="M16" s="725"/>
    </row>
    <row r="17" spans="1:13" ht="15.75">
      <c r="A17" s="544"/>
      <c r="B17" s="461"/>
      <c r="C17" s="463"/>
      <c r="D17" s="463"/>
      <c r="E17" s="463"/>
      <c r="F17" s="463"/>
      <c r="G17" s="463"/>
      <c r="H17" s="464"/>
      <c r="I17" s="463"/>
      <c r="J17" s="524">
        <f t="shared" si="0"/>
        <v>40865</v>
      </c>
      <c r="K17" s="525">
        <v>2105.4499999999998</v>
      </c>
      <c r="M17" s="725"/>
    </row>
    <row r="18" spans="1:13" ht="15.75">
      <c r="A18" s="544"/>
      <c r="B18" s="461"/>
      <c r="C18" s="463"/>
      <c r="D18" s="463"/>
      <c r="E18" s="463"/>
      <c r="F18" s="463"/>
      <c r="G18" s="463"/>
      <c r="H18" s="464"/>
      <c r="I18" s="463"/>
      <c r="J18" s="526">
        <f t="shared" si="0"/>
        <v>40872</v>
      </c>
      <c r="K18" s="527">
        <v>2023</v>
      </c>
      <c r="M18" s="725"/>
    </row>
    <row r="19" spans="1:13" ht="15.75">
      <c r="A19" s="544"/>
      <c r="B19" s="461"/>
      <c r="C19" s="463"/>
      <c r="D19" s="463"/>
      <c r="E19" s="463"/>
      <c r="F19" s="463"/>
      <c r="G19" s="463"/>
      <c r="H19" s="464"/>
      <c r="I19" s="463"/>
      <c r="J19" s="528">
        <f t="shared" si="0"/>
        <v>40879</v>
      </c>
      <c r="K19" s="529">
        <v>2043.25</v>
      </c>
      <c r="M19" s="725"/>
    </row>
    <row r="20" spans="1:13" ht="15.75">
      <c r="A20" s="544"/>
      <c r="B20" s="461"/>
      <c r="C20" s="463"/>
      <c r="D20" s="463"/>
      <c r="E20" s="463"/>
      <c r="F20" s="463"/>
      <c r="G20" s="463"/>
      <c r="H20" s="464"/>
      <c r="I20" s="463"/>
      <c r="J20" s="530">
        <f t="shared" si="0"/>
        <v>40886</v>
      </c>
      <c r="K20" s="531">
        <v>2087.15</v>
      </c>
      <c r="M20" s="725"/>
    </row>
    <row r="21" spans="1:13" ht="15.75">
      <c r="A21" s="544"/>
      <c r="B21" s="461"/>
      <c r="C21" s="463"/>
      <c r="D21" s="463"/>
      <c r="E21" s="463"/>
      <c r="F21" s="463"/>
      <c r="G21" s="463"/>
      <c r="H21" s="464"/>
      <c r="I21" s="463"/>
      <c r="J21" s="530">
        <f t="shared" si="0"/>
        <v>40893</v>
      </c>
      <c r="K21" s="531">
        <v>2001.6</v>
      </c>
      <c r="M21" s="725"/>
    </row>
    <row r="22" spans="1:13" ht="15.75">
      <c r="A22" s="544"/>
      <c r="B22" s="461"/>
      <c r="C22" s="463"/>
      <c r="D22" s="463"/>
      <c r="E22" s="463"/>
      <c r="F22" s="463"/>
      <c r="G22" s="463"/>
      <c r="H22" s="464"/>
      <c r="I22" s="463"/>
      <c r="J22" s="530">
        <f t="shared" si="0"/>
        <v>40900</v>
      </c>
      <c r="K22" s="531">
        <v>1965.4</v>
      </c>
      <c r="M22" s="725"/>
    </row>
    <row r="23" spans="1:13" ht="15.75">
      <c r="A23" s="544"/>
      <c r="B23" s="461"/>
      <c r="C23" s="463"/>
      <c r="D23" s="463"/>
      <c r="E23" s="463"/>
      <c r="F23" s="463"/>
      <c r="G23" s="463"/>
      <c r="H23" s="464"/>
      <c r="I23" s="463"/>
      <c r="J23" s="530">
        <f t="shared" si="0"/>
        <v>40907</v>
      </c>
      <c r="K23" s="531">
        <v>1972</v>
      </c>
      <c r="M23" s="725"/>
    </row>
    <row r="24" spans="1:13" ht="15.75">
      <c r="A24" s="544"/>
      <c r="B24" s="461"/>
      <c r="C24" s="463"/>
      <c r="D24" s="463"/>
      <c r="E24" s="463"/>
      <c r="F24" s="463"/>
      <c r="G24" s="463"/>
      <c r="H24" s="464"/>
      <c r="I24" s="463"/>
      <c r="J24" s="530">
        <f t="shared" si="0"/>
        <v>40914</v>
      </c>
      <c r="K24" s="531">
        <v>2020</v>
      </c>
      <c r="M24" s="725"/>
    </row>
    <row r="25" spans="1:13" ht="15.75">
      <c r="A25" s="544"/>
      <c r="B25" s="461"/>
      <c r="C25" s="463"/>
      <c r="D25" s="463"/>
      <c r="E25" s="463"/>
      <c r="F25" s="463"/>
      <c r="G25" s="463"/>
      <c r="H25" s="464"/>
      <c r="I25" s="463"/>
      <c r="J25" s="530">
        <f t="shared" si="0"/>
        <v>40921</v>
      </c>
      <c r="K25" s="531">
        <v>2120</v>
      </c>
      <c r="M25" s="725"/>
    </row>
    <row r="26" spans="1:13" ht="15.75">
      <c r="A26" s="544"/>
      <c r="B26" s="461"/>
      <c r="C26" s="463"/>
      <c r="D26" s="463"/>
      <c r="E26" s="463"/>
      <c r="F26" s="463"/>
      <c r="G26" s="463"/>
      <c r="H26" s="464"/>
      <c r="I26" s="463"/>
      <c r="J26" s="530">
        <f t="shared" si="0"/>
        <v>40928</v>
      </c>
      <c r="K26" s="531">
        <v>2166.1</v>
      </c>
      <c r="M26" s="725"/>
    </row>
    <row r="27" spans="1:13" ht="15.75">
      <c r="A27" s="544"/>
      <c r="B27" s="461"/>
      <c r="C27" s="463"/>
      <c r="D27" s="463"/>
      <c r="E27" s="463"/>
      <c r="F27" s="463"/>
      <c r="G27" s="463"/>
      <c r="H27" s="464"/>
      <c r="I27" s="463"/>
      <c r="J27" s="530">
        <f t="shared" si="0"/>
        <v>40935</v>
      </c>
      <c r="K27" s="531">
        <v>2208.4499999999998</v>
      </c>
      <c r="M27" s="725"/>
    </row>
    <row r="28" spans="1:13" ht="15.75">
      <c r="A28" s="544"/>
      <c r="B28" s="461"/>
      <c r="C28" s="463"/>
      <c r="D28" s="463"/>
      <c r="E28" s="463"/>
      <c r="F28" s="463"/>
      <c r="G28" s="463"/>
      <c r="H28" s="464"/>
      <c r="I28" s="463"/>
      <c r="J28" s="530">
        <f t="shared" si="0"/>
        <v>40942</v>
      </c>
      <c r="K28" s="531">
        <v>2209.15</v>
      </c>
      <c r="M28" s="725"/>
    </row>
    <row r="29" spans="1:13" ht="15.75">
      <c r="A29" s="544"/>
      <c r="B29" s="461"/>
      <c r="C29" s="463"/>
      <c r="D29" s="463"/>
      <c r="E29" s="463"/>
      <c r="F29" s="463"/>
      <c r="G29" s="463"/>
      <c r="H29" s="464"/>
      <c r="I29" s="463"/>
      <c r="J29" s="530">
        <f t="shared" si="0"/>
        <v>40949</v>
      </c>
      <c r="K29" s="531">
        <v>2206.9</v>
      </c>
      <c r="M29" s="725"/>
    </row>
    <row r="30" spans="1:13" ht="15.75">
      <c r="A30" s="544"/>
      <c r="B30" s="461"/>
      <c r="C30" s="463"/>
      <c r="D30" s="463"/>
      <c r="E30" s="463"/>
      <c r="F30" s="463"/>
      <c r="G30" s="463"/>
      <c r="H30" s="464"/>
      <c r="I30" s="463"/>
      <c r="J30" s="530">
        <f t="shared" si="0"/>
        <v>40956</v>
      </c>
      <c r="K30" s="531">
        <v>2157.5500000000002</v>
      </c>
      <c r="M30" s="725"/>
    </row>
    <row r="31" spans="1:13" ht="15.75">
      <c r="A31" s="544"/>
      <c r="B31" s="461"/>
      <c r="C31" s="463"/>
      <c r="D31" s="463"/>
      <c r="E31" s="463"/>
      <c r="F31" s="463"/>
      <c r="G31" s="463"/>
      <c r="H31" s="464"/>
      <c r="I31" s="463"/>
      <c r="J31" s="530">
        <f t="shared" si="0"/>
        <v>40963</v>
      </c>
      <c r="K31" s="531">
        <v>2199.65</v>
      </c>
      <c r="M31" s="725"/>
    </row>
    <row r="32" spans="1:13" ht="15.75">
      <c r="A32" s="544"/>
      <c r="B32" s="461"/>
      <c r="C32" s="463"/>
      <c r="D32" s="463"/>
      <c r="E32" s="463"/>
      <c r="F32" s="463"/>
      <c r="G32" s="463"/>
      <c r="H32" s="464"/>
      <c r="I32" s="463"/>
      <c r="J32" s="530">
        <f t="shared" si="0"/>
        <v>40970</v>
      </c>
      <c r="K32" s="531">
        <v>2291.9</v>
      </c>
      <c r="M32" s="725"/>
    </row>
    <row r="33" spans="1:13" ht="15.75">
      <c r="A33" s="544"/>
      <c r="B33" s="461"/>
      <c r="C33" s="463"/>
      <c r="D33" s="463"/>
      <c r="E33" s="463"/>
      <c r="F33" s="463"/>
      <c r="G33" s="463"/>
      <c r="H33" s="464"/>
      <c r="I33" s="463"/>
      <c r="J33" s="530">
        <f t="shared" si="0"/>
        <v>40977</v>
      </c>
      <c r="K33" s="531">
        <v>2194.5</v>
      </c>
      <c r="M33" s="725"/>
    </row>
    <row r="34" spans="1:13" ht="15.75">
      <c r="A34" s="544"/>
      <c r="B34" s="461"/>
      <c r="C34" s="463"/>
      <c r="D34" s="463"/>
      <c r="E34" s="463"/>
      <c r="F34" s="463"/>
      <c r="G34" s="463"/>
      <c r="H34" s="464"/>
      <c r="I34" s="463"/>
      <c r="J34" s="530">
        <f t="shared" si="0"/>
        <v>40984</v>
      </c>
      <c r="K34" s="531">
        <v>2193.4</v>
      </c>
      <c r="M34" s="725"/>
    </row>
    <row r="35" spans="1:13" ht="15.75">
      <c r="A35" s="544"/>
      <c r="B35" s="461"/>
      <c r="C35" s="463"/>
      <c r="D35" s="463"/>
      <c r="E35" s="463"/>
      <c r="F35" s="463"/>
      <c r="G35" s="463"/>
      <c r="H35" s="464"/>
      <c r="I35" s="463"/>
      <c r="J35" s="530">
        <f t="shared" si="0"/>
        <v>40991</v>
      </c>
      <c r="K35" s="531">
        <v>2176.25</v>
      </c>
      <c r="M35" s="725"/>
    </row>
    <row r="36" spans="1:13" ht="15.75">
      <c r="A36" s="544"/>
      <c r="B36" s="461"/>
      <c r="C36" s="463"/>
      <c r="D36" s="463"/>
      <c r="E36" s="463"/>
      <c r="F36" s="463"/>
      <c r="G36" s="463"/>
      <c r="H36" s="464"/>
      <c r="I36" s="463"/>
      <c r="J36" s="530">
        <f t="shared" si="0"/>
        <v>40998</v>
      </c>
      <c r="K36" s="531">
        <v>2122.5</v>
      </c>
      <c r="M36" s="725"/>
    </row>
    <row r="37" spans="1:13" ht="15.75">
      <c r="A37" s="544"/>
      <c r="B37" s="461"/>
      <c r="C37" s="463"/>
      <c r="D37" s="463"/>
      <c r="E37" s="463"/>
      <c r="F37" s="463"/>
      <c r="G37" s="463"/>
      <c r="H37" s="464"/>
      <c r="I37" s="463"/>
      <c r="J37" s="530">
        <f t="shared" si="0"/>
        <v>41005</v>
      </c>
      <c r="K37" s="531">
        <v>2071.125</v>
      </c>
      <c r="M37" s="725"/>
    </row>
    <row r="38" spans="1:13" ht="15.75">
      <c r="A38" s="544"/>
      <c r="B38" s="461"/>
      <c r="C38" s="463"/>
      <c r="D38" s="463"/>
      <c r="E38" s="463"/>
      <c r="F38" s="463"/>
      <c r="G38" s="463"/>
      <c r="H38" s="464"/>
      <c r="I38" s="463"/>
      <c r="J38" s="530">
        <f t="shared" si="0"/>
        <v>41012</v>
      </c>
      <c r="K38" s="531">
        <v>2050.3130000000001</v>
      </c>
      <c r="M38" s="725"/>
    </row>
    <row r="39" spans="1:13" ht="15.75">
      <c r="A39" s="544"/>
      <c r="B39" s="461"/>
      <c r="C39" s="463"/>
      <c r="D39" s="463"/>
      <c r="E39" s="463"/>
      <c r="F39" s="463"/>
      <c r="G39" s="463"/>
      <c r="H39" s="464"/>
      <c r="I39" s="463"/>
      <c r="J39" s="530">
        <f t="shared" si="0"/>
        <v>41019</v>
      </c>
      <c r="K39" s="531">
        <v>2029.1</v>
      </c>
      <c r="M39" s="725"/>
    </row>
    <row r="40" spans="1:13" ht="15.75">
      <c r="A40" s="544"/>
      <c r="B40" s="461"/>
      <c r="C40" s="463"/>
      <c r="D40" s="463"/>
      <c r="E40" s="463"/>
      <c r="F40" s="463"/>
      <c r="G40" s="463"/>
      <c r="H40" s="464"/>
      <c r="I40" s="463"/>
      <c r="J40" s="530">
        <f t="shared" si="0"/>
        <v>41026</v>
      </c>
      <c r="K40" s="531">
        <v>2037.75</v>
      </c>
      <c r="M40" s="725"/>
    </row>
    <row r="41" spans="1:13" ht="15.75">
      <c r="A41" s="544"/>
      <c r="B41" s="461"/>
      <c r="C41" s="463"/>
      <c r="D41" s="463"/>
      <c r="E41" s="463"/>
      <c r="F41" s="463"/>
      <c r="G41" s="463"/>
      <c r="H41" s="464"/>
      <c r="I41" s="463"/>
      <c r="J41" s="530">
        <f t="shared" si="0"/>
        <v>41033</v>
      </c>
      <c r="K41" s="531">
        <v>2056.65</v>
      </c>
      <c r="M41" s="725"/>
    </row>
    <row r="42" spans="1:13" ht="15.75">
      <c r="A42" s="544"/>
      <c r="B42" s="461"/>
      <c r="C42" s="463"/>
      <c r="D42" s="463"/>
      <c r="E42" s="463"/>
      <c r="F42" s="463"/>
      <c r="G42" s="463"/>
      <c r="H42" s="464"/>
      <c r="I42" s="463"/>
      <c r="J42" s="530">
        <f t="shared" si="0"/>
        <v>41040</v>
      </c>
      <c r="K42" s="531">
        <v>2001.875</v>
      </c>
      <c r="M42" s="725"/>
    </row>
    <row r="43" spans="1:13" ht="15.75">
      <c r="A43" s="544"/>
      <c r="B43" s="461"/>
      <c r="C43" s="463"/>
      <c r="D43" s="463"/>
      <c r="E43" s="463"/>
      <c r="F43" s="463"/>
      <c r="G43" s="463"/>
      <c r="H43" s="464"/>
      <c r="I43" s="463"/>
      <c r="J43" s="530">
        <f t="shared" si="0"/>
        <v>41047</v>
      </c>
      <c r="K43" s="531">
        <v>1991.55</v>
      </c>
      <c r="M43" s="725"/>
    </row>
    <row r="44" spans="1:13" ht="15.75">
      <c r="A44" s="544"/>
      <c r="B44" s="461"/>
      <c r="C44" s="463"/>
      <c r="D44" s="463"/>
      <c r="E44" s="463"/>
      <c r="F44" s="463"/>
      <c r="G44" s="463"/>
      <c r="H44" s="464"/>
      <c r="I44" s="463"/>
      <c r="J44" s="530">
        <f t="shared" si="0"/>
        <v>41054</v>
      </c>
      <c r="K44" s="531">
        <v>1984.5</v>
      </c>
      <c r="M44" s="725"/>
    </row>
    <row r="45" spans="1:13" ht="15.75">
      <c r="A45" s="544"/>
      <c r="B45" s="461"/>
      <c r="C45" s="463"/>
      <c r="D45" s="463"/>
      <c r="E45" s="463"/>
      <c r="F45" s="463"/>
      <c r="G45" s="463"/>
      <c r="H45" s="464"/>
      <c r="I45" s="463"/>
      <c r="J45" s="530">
        <f t="shared" si="0"/>
        <v>41061</v>
      </c>
      <c r="K45" s="531">
        <v>1965.3</v>
      </c>
      <c r="M45" s="725"/>
    </row>
    <row r="46" spans="1:13" ht="15.75">
      <c r="A46" s="544"/>
      <c r="B46" s="461"/>
      <c r="C46" s="463"/>
      <c r="D46" s="463"/>
      <c r="E46" s="463"/>
      <c r="F46" s="463"/>
      <c r="G46" s="463"/>
      <c r="H46" s="464"/>
      <c r="I46" s="463"/>
      <c r="J46" s="530">
        <f t="shared" si="0"/>
        <v>41068</v>
      </c>
      <c r="K46" s="531">
        <v>1943.25</v>
      </c>
      <c r="M46" s="725"/>
    </row>
    <row r="47" spans="1:13" ht="15.75">
      <c r="A47" s="544"/>
      <c r="B47" s="461"/>
      <c r="C47" s="463"/>
      <c r="D47" s="463"/>
      <c r="E47" s="463"/>
      <c r="F47" s="463"/>
      <c r="G47" s="463"/>
      <c r="H47" s="464"/>
      <c r="I47" s="463"/>
      <c r="J47" s="530">
        <f t="shared" si="0"/>
        <v>41075</v>
      </c>
      <c r="K47" s="531">
        <v>1926.25</v>
      </c>
      <c r="M47" s="725"/>
    </row>
    <row r="48" spans="1:13" ht="15.75">
      <c r="A48" s="544"/>
      <c r="B48" s="461"/>
      <c r="C48" s="463"/>
      <c r="D48" s="463"/>
      <c r="E48" s="463"/>
      <c r="F48" s="463"/>
      <c r="G48" s="463"/>
      <c r="H48" s="464"/>
      <c r="I48" s="463"/>
      <c r="J48" s="530">
        <f t="shared" si="0"/>
        <v>41082</v>
      </c>
      <c r="K48" s="531">
        <v>1860.85</v>
      </c>
      <c r="M48" s="725"/>
    </row>
    <row r="49" spans="1:13" ht="15.75">
      <c r="A49" s="544"/>
      <c r="B49" s="461"/>
      <c r="C49" s="463"/>
      <c r="D49" s="463"/>
      <c r="E49" s="463"/>
      <c r="F49" s="463"/>
      <c r="G49" s="463"/>
      <c r="H49" s="464"/>
      <c r="I49" s="463"/>
      <c r="J49" s="530">
        <f t="shared" si="0"/>
        <v>41089</v>
      </c>
      <c r="K49" s="531">
        <v>1820.75</v>
      </c>
      <c r="M49" s="725"/>
    </row>
    <row r="50" spans="1:13" ht="15.75">
      <c r="A50" s="544"/>
      <c r="B50" s="461"/>
      <c r="C50" s="463"/>
      <c r="D50" s="463"/>
      <c r="E50" s="463"/>
      <c r="F50" s="463"/>
      <c r="G50" s="463"/>
      <c r="H50" s="464"/>
      <c r="I50" s="463"/>
      <c r="J50" s="530">
        <f t="shared" si="0"/>
        <v>41096</v>
      </c>
      <c r="K50" s="531">
        <v>1901.75</v>
      </c>
      <c r="M50" s="725"/>
    </row>
    <row r="51" spans="1:13" ht="15.75">
      <c r="A51" s="544"/>
      <c r="B51" s="461"/>
      <c r="C51" s="463"/>
      <c r="D51" s="463"/>
      <c r="E51" s="463"/>
      <c r="F51" s="463"/>
      <c r="G51" s="463"/>
      <c r="H51" s="464"/>
      <c r="I51" s="463"/>
      <c r="J51" s="530">
        <f t="shared" si="0"/>
        <v>41103</v>
      </c>
      <c r="K51" s="531">
        <v>1866.9</v>
      </c>
      <c r="M51" s="725"/>
    </row>
    <row r="52" spans="1:13" ht="15.75">
      <c r="A52" s="544"/>
      <c r="B52" s="461"/>
      <c r="C52" s="463"/>
      <c r="D52" s="463"/>
      <c r="E52" s="463"/>
      <c r="F52" s="463"/>
      <c r="G52" s="463"/>
      <c r="H52" s="464"/>
      <c r="I52" s="463"/>
      <c r="J52" s="530">
        <f t="shared" si="0"/>
        <v>41110</v>
      </c>
      <c r="K52" s="531">
        <v>1884.2</v>
      </c>
      <c r="M52" s="725"/>
    </row>
    <row r="53" spans="1:13" ht="15.75">
      <c r="A53" s="544"/>
      <c r="B53" s="461"/>
      <c r="C53" s="463"/>
      <c r="D53" s="463"/>
      <c r="E53" s="463"/>
      <c r="F53" s="463"/>
      <c r="G53" s="463"/>
      <c r="H53" s="464"/>
      <c r="I53" s="463"/>
      <c r="J53" s="530">
        <f t="shared" si="0"/>
        <v>41117</v>
      </c>
      <c r="K53" s="531">
        <v>1849.3</v>
      </c>
      <c r="M53" s="725"/>
    </row>
    <row r="54" spans="1:13" ht="15.75">
      <c r="A54" s="544"/>
      <c r="B54" s="461"/>
      <c r="C54" s="463"/>
      <c r="D54" s="463"/>
      <c r="E54" s="463"/>
      <c r="F54" s="463"/>
      <c r="G54" s="463"/>
      <c r="H54" s="464"/>
      <c r="I54" s="463"/>
      <c r="J54" s="530">
        <f t="shared" si="0"/>
        <v>41124</v>
      </c>
      <c r="K54" s="531">
        <v>1836.85</v>
      </c>
      <c r="M54" s="725"/>
    </row>
    <row r="55" spans="1:13" ht="15.75">
      <c r="A55" s="544"/>
      <c r="B55" s="461"/>
      <c r="C55" s="463"/>
      <c r="D55" s="463"/>
      <c r="E55" s="463"/>
      <c r="F55" s="463"/>
      <c r="G55" s="463"/>
      <c r="H55" s="464"/>
      <c r="I55" s="463"/>
      <c r="J55" s="530">
        <f t="shared" si="0"/>
        <v>41131</v>
      </c>
      <c r="K55" s="531">
        <v>1852.9</v>
      </c>
      <c r="M55" s="725"/>
    </row>
    <row r="56" spans="1:13" ht="15.75">
      <c r="A56" s="544"/>
      <c r="B56" s="461"/>
      <c r="C56" s="463"/>
      <c r="D56" s="463"/>
      <c r="E56" s="463"/>
      <c r="F56" s="463"/>
      <c r="G56" s="463"/>
      <c r="H56" s="464"/>
      <c r="I56" s="463"/>
      <c r="J56" s="530">
        <f t="shared" si="0"/>
        <v>41138</v>
      </c>
      <c r="K56" s="531">
        <v>1808.65</v>
      </c>
      <c r="M56" s="725"/>
    </row>
    <row r="57" spans="1:13" ht="15.75">
      <c r="A57" s="544"/>
      <c r="B57" s="461"/>
      <c r="C57" s="463"/>
      <c r="D57" s="463"/>
      <c r="E57" s="463"/>
      <c r="F57" s="463"/>
      <c r="G57" s="463"/>
      <c r="H57" s="464"/>
      <c r="I57" s="463"/>
      <c r="J57" s="530">
        <f t="shared" si="0"/>
        <v>41145</v>
      </c>
      <c r="K57" s="531">
        <v>1836</v>
      </c>
      <c r="M57" s="725"/>
    </row>
    <row r="58" spans="1:13" ht="15.75">
      <c r="A58" s="544"/>
      <c r="B58" s="461"/>
      <c r="C58" s="463"/>
      <c r="D58" s="463"/>
      <c r="E58" s="463"/>
      <c r="F58" s="463"/>
      <c r="G58" s="463"/>
      <c r="H58" s="464"/>
      <c r="I58" s="463"/>
      <c r="J58" s="530">
        <f t="shared" si="0"/>
        <v>41152</v>
      </c>
      <c r="K58" s="525">
        <v>1867.8130000000001</v>
      </c>
      <c r="M58" s="725"/>
    </row>
    <row r="59" spans="1:13" ht="15.75">
      <c r="A59" s="544"/>
      <c r="B59" s="461"/>
      <c r="C59" s="463"/>
      <c r="D59" s="463"/>
      <c r="E59" s="463"/>
      <c r="F59" s="463"/>
      <c r="G59" s="463"/>
      <c r="H59" s="464"/>
      <c r="I59" s="463"/>
      <c r="J59" s="530">
        <f t="shared" si="0"/>
        <v>41159</v>
      </c>
      <c r="K59" s="525">
        <v>1936.95</v>
      </c>
      <c r="M59" s="725"/>
    </row>
    <row r="60" spans="1:13" ht="15.75">
      <c r="A60" s="544"/>
      <c r="B60" s="461"/>
      <c r="C60" s="463"/>
      <c r="D60" s="463"/>
      <c r="E60" s="463"/>
      <c r="F60" s="463"/>
      <c r="G60" s="463"/>
      <c r="H60" s="464"/>
      <c r="I60" s="185"/>
      <c r="J60" s="530">
        <f t="shared" si="0"/>
        <v>41166</v>
      </c>
      <c r="K60" s="525">
        <v>2084.3000000000002</v>
      </c>
      <c r="M60" s="725"/>
    </row>
    <row r="61" spans="1:13" ht="15.75">
      <c r="A61" s="544"/>
      <c r="B61" s="461"/>
      <c r="C61" s="463"/>
      <c r="D61" s="463"/>
      <c r="E61" s="463"/>
      <c r="F61" s="463"/>
      <c r="G61" s="463"/>
      <c r="H61" s="464"/>
      <c r="J61" s="530">
        <f t="shared" si="0"/>
        <v>41173</v>
      </c>
      <c r="K61" s="525">
        <v>2125.3000000000002</v>
      </c>
      <c r="M61" s="725"/>
    </row>
    <row r="62" spans="1:13" ht="15.75">
      <c r="A62" s="544"/>
      <c r="B62" s="461"/>
      <c r="C62" s="463"/>
      <c r="D62" s="463"/>
      <c r="E62" s="463"/>
      <c r="F62" s="463"/>
      <c r="G62" s="463"/>
      <c r="H62" s="464"/>
      <c r="J62" s="532">
        <f t="shared" si="0"/>
        <v>41180</v>
      </c>
      <c r="K62" s="533">
        <v>2067.4</v>
      </c>
      <c r="M62" s="725"/>
    </row>
    <row r="63" spans="1:13" ht="15.75">
      <c r="A63" s="544"/>
      <c r="B63" s="461"/>
      <c r="C63" s="463"/>
      <c r="D63" s="463"/>
      <c r="E63" s="463"/>
      <c r="F63" s="463"/>
      <c r="G63" s="463"/>
      <c r="H63" s="464"/>
      <c r="J63" s="524">
        <f>E6+IF(TEXT(E6,"dddd")={"sábado","domingo"},IF(TEXT(E6,"dddd")="sábado",6,5),5-WEEKDAY(E6)+1)</f>
        <v>41187</v>
      </c>
      <c r="K63" s="534">
        <v>2083.25</v>
      </c>
      <c r="M63" s="725"/>
    </row>
    <row r="64" spans="1:13" ht="15.75">
      <c r="A64" s="544"/>
      <c r="B64" s="461"/>
      <c r="C64" s="463"/>
      <c r="D64" s="463"/>
      <c r="E64" s="463"/>
      <c r="F64" s="463"/>
      <c r="G64" s="463"/>
      <c r="H64" s="464"/>
      <c r="J64" s="530">
        <f>+J63+7</f>
        <v>41194</v>
      </c>
      <c r="K64" s="534">
        <v>2009.05</v>
      </c>
      <c r="M64" s="725"/>
    </row>
    <row r="65" spans="1:13" ht="15.75">
      <c r="A65" s="544"/>
      <c r="B65" s="461"/>
      <c r="C65" s="463"/>
      <c r="D65" s="463"/>
      <c r="E65" s="463"/>
      <c r="F65" s="463"/>
      <c r="G65" s="463"/>
      <c r="H65" s="464"/>
      <c r="I65" s="463"/>
      <c r="J65" s="530">
        <f>+J64+7</f>
        <v>41201</v>
      </c>
      <c r="K65" s="534">
        <v>1952</v>
      </c>
      <c r="M65" s="725"/>
    </row>
    <row r="66" spans="1:13" ht="15.75">
      <c r="A66" s="544"/>
      <c r="B66" s="465"/>
      <c r="C66" s="466"/>
      <c r="D66" s="466"/>
      <c r="E66" s="466"/>
      <c r="F66" s="466"/>
      <c r="G66" s="466"/>
      <c r="H66" s="467"/>
      <c r="I66" s="463"/>
      <c r="J66" s="532">
        <f>+J65+7</f>
        <v>41208</v>
      </c>
      <c r="K66" s="535">
        <v>1912.15</v>
      </c>
      <c r="M66" s="725"/>
    </row>
    <row r="67" spans="1:13">
      <c r="B67" s="459"/>
      <c r="C67" s="459"/>
      <c r="D67" s="459"/>
      <c r="E67" s="459"/>
      <c r="F67" s="459"/>
      <c r="G67" s="459"/>
      <c r="H67" s="459"/>
      <c r="I67" s="463"/>
    </row>
    <row r="68" spans="1:13" ht="20.25">
      <c r="C68" s="450" t="s">
        <v>183</v>
      </c>
      <c r="D68" s="424"/>
      <c r="E68" s="450"/>
      <c r="F68" s="424"/>
      <c r="G68" s="424"/>
      <c r="I68" s="463"/>
    </row>
    <row r="69" spans="1:13">
      <c r="C69" s="424" t="s">
        <v>661</v>
      </c>
      <c r="D69" s="424"/>
      <c r="E69" s="424"/>
      <c r="F69" s="424"/>
      <c r="G69" s="424"/>
      <c r="I69" s="463"/>
    </row>
    <row r="70" spans="1:13">
      <c r="C70" s="547" t="s">
        <v>360</v>
      </c>
      <c r="D70" s="424"/>
      <c r="E70" s="424"/>
      <c r="F70" s="424"/>
      <c r="G70" s="424"/>
      <c r="I70" s="463"/>
    </row>
    <row r="71" spans="1:13">
      <c r="C71" s="424" t="s">
        <v>654</v>
      </c>
      <c r="D71" s="424"/>
      <c r="E71" s="424"/>
      <c r="F71" s="424"/>
      <c r="G71" s="424"/>
      <c r="I71" s="463"/>
    </row>
    <row r="72" spans="1:13">
      <c r="I72" s="463"/>
    </row>
    <row r="73" spans="1:13">
      <c r="B73" s="458"/>
      <c r="C73" s="459"/>
      <c r="D73" s="459"/>
      <c r="E73" s="459"/>
      <c r="F73" s="459"/>
      <c r="G73" s="459"/>
      <c r="H73" s="460"/>
      <c r="I73" s="463"/>
    </row>
    <row r="74" spans="1:13">
      <c r="B74" s="461"/>
      <c r="C74" s="463"/>
      <c r="D74" s="463"/>
      <c r="E74" s="463"/>
      <c r="F74" s="463"/>
      <c r="G74" s="463"/>
      <c r="H74" s="464"/>
      <c r="I74" s="463"/>
    </row>
    <row r="75" spans="1:13">
      <c r="B75" s="461"/>
      <c r="C75" s="463"/>
      <c r="D75" s="463"/>
      <c r="E75" s="463"/>
      <c r="F75" s="463"/>
      <c r="G75" s="463"/>
      <c r="H75" s="464"/>
      <c r="I75" s="463"/>
    </row>
    <row r="76" spans="1:13">
      <c r="B76" s="461"/>
      <c r="C76" s="463"/>
      <c r="D76" s="463"/>
      <c r="E76" s="463"/>
      <c r="F76" s="463"/>
      <c r="G76" s="463"/>
      <c r="H76" s="464"/>
      <c r="I76" s="463"/>
    </row>
    <row r="77" spans="1:13" ht="15.75">
      <c r="B77" s="461"/>
      <c r="C77" s="463"/>
      <c r="D77" s="463"/>
      <c r="E77" s="463"/>
      <c r="F77" s="463"/>
      <c r="G77" s="463"/>
      <c r="H77" s="464"/>
      <c r="I77" s="463"/>
      <c r="J77" s="485" t="s">
        <v>699</v>
      </c>
      <c r="K77" s="176"/>
    </row>
    <row r="78" spans="1:13">
      <c r="B78" s="461"/>
      <c r="C78" s="463"/>
      <c r="D78" s="463"/>
      <c r="E78" s="463"/>
      <c r="F78" s="463"/>
      <c r="G78" s="463"/>
      <c r="H78" s="464"/>
      <c r="I78" s="463"/>
      <c r="J78" s="483">
        <f>F6</f>
        <v>41183</v>
      </c>
      <c r="K78" s="484">
        <f>AVERAGE(K81:K92)</f>
        <v>358.5916666666667</v>
      </c>
    </row>
    <row r="79" spans="1:13">
      <c r="B79" s="461"/>
      <c r="C79" s="463"/>
      <c r="D79" s="463"/>
      <c r="E79" s="463"/>
      <c r="F79" s="463"/>
      <c r="G79" s="463"/>
      <c r="H79" s="464"/>
      <c r="I79" s="463"/>
    </row>
    <row r="80" spans="1:13" ht="31.5">
      <c r="B80" s="461"/>
      <c r="C80" s="463"/>
      <c r="D80" s="463"/>
      <c r="E80" s="463"/>
      <c r="F80" s="463"/>
      <c r="G80" s="463"/>
      <c r="H80" s="464"/>
      <c r="I80" s="463"/>
      <c r="J80" s="536" t="s">
        <v>85</v>
      </c>
      <c r="K80" s="500" t="s">
        <v>667</v>
      </c>
    </row>
    <row r="81" spans="1:11">
      <c r="B81" s="461"/>
      <c r="C81" s="463"/>
      <c r="D81" s="463"/>
      <c r="E81" s="463"/>
      <c r="F81" s="463"/>
      <c r="G81" s="463"/>
      <c r="H81" s="464"/>
      <c r="I81" s="463"/>
      <c r="J81" s="516">
        <f t="shared" ref="J81:J91" si="1">DATE(YEAR(J82),MONTH(J82)-1,DAY(J82))</f>
        <v>40848</v>
      </c>
      <c r="K81" s="517">
        <v>342.54</v>
      </c>
    </row>
    <row r="82" spans="1:11">
      <c r="B82" s="461"/>
      <c r="C82" s="463"/>
      <c r="D82" s="463"/>
      <c r="E82" s="463"/>
      <c r="F82" s="463"/>
      <c r="G82" s="463"/>
      <c r="H82" s="464"/>
      <c r="I82" s="463"/>
      <c r="J82" s="516">
        <f t="shared" si="1"/>
        <v>40878</v>
      </c>
      <c r="K82" s="517">
        <v>343.31</v>
      </c>
    </row>
    <row r="83" spans="1:11">
      <c r="B83" s="461"/>
      <c r="C83" s="463"/>
      <c r="D83" s="463"/>
      <c r="E83" s="463"/>
      <c r="F83" s="463"/>
      <c r="G83" s="463"/>
      <c r="H83" s="464"/>
      <c r="I83" s="463"/>
      <c r="J83" s="518">
        <f t="shared" si="1"/>
        <v>40909</v>
      </c>
      <c r="K83" s="519">
        <v>363.84</v>
      </c>
    </row>
    <row r="84" spans="1:11">
      <c r="B84" s="461"/>
      <c r="C84" s="463"/>
      <c r="D84" s="463"/>
      <c r="E84" s="463"/>
      <c r="F84" s="463"/>
      <c r="G84" s="463"/>
      <c r="H84" s="464"/>
      <c r="I84" s="463"/>
      <c r="J84" s="518">
        <f t="shared" si="1"/>
        <v>40940</v>
      </c>
      <c r="K84" s="519">
        <v>382.05</v>
      </c>
    </row>
    <row r="85" spans="1:11">
      <c r="B85" s="461"/>
      <c r="C85" s="463"/>
      <c r="D85" s="463"/>
      <c r="E85" s="463"/>
      <c r="F85" s="463"/>
      <c r="G85" s="463"/>
      <c r="H85" s="464"/>
      <c r="I85" s="463"/>
      <c r="J85" s="518">
        <f t="shared" si="1"/>
        <v>40969</v>
      </c>
      <c r="K85" s="519">
        <v>383.61</v>
      </c>
    </row>
    <row r="86" spans="1:11">
      <c r="B86" s="461"/>
      <c r="C86" s="463"/>
      <c r="D86" s="463"/>
      <c r="E86" s="463"/>
      <c r="F86" s="463"/>
      <c r="G86" s="463"/>
      <c r="H86" s="464"/>
      <c r="I86" s="463"/>
      <c r="J86" s="518">
        <f t="shared" si="1"/>
        <v>41000</v>
      </c>
      <c r="K86" s="519">
        <v>375.11</v>
      </c>
    </row>
    <row r="87" spans="1:11">
      <c r="B87" s="461"/>
      <c r="C87" s="463"/>
      <c r="D87" s="463"/>
      <c r="E87" s="463"/>
      <c r="F87" s="463"/>
      <c r="G87" s="463"/>
      <c r="H87" s="464"/>
      <c r="I87" s="463"/>
      <c r="J87" s="518">
        <f t="shared" si="1"/>
        <v>41030</v>
      </c>
      <c r="K87" s="519">
        <v>359.98</v>
      </c>
    </row>
    <row r="88" spans="1:11">
      <c r="B88" s="461"/>
      <c r="C88" s="463"/>
      <c r="D88" s="463"/>
      <c r="E88" s="463"/>
      <c r="F88" s="463"/>
      <c r="G88" s="463"/>
      <c r="H88" s="464"/>
      <c r="I88" s="463"/>
      <c r="J88" s="518">
        <f t="shared" si="1"/>
        <v>41061</v>
      </c>
      <c r="K88" s="519">
        <v>336.33</v>
      </c>
    </row>
    <row r="89" spans="1:11">
      <c r="B89" s="461"/>
      <c r="C89" s="463"/>
      <c r="D89" s="463"/>
      <c r="E89" s="463"/>
      <c r="F89" s="463"/>
      <c r="G89" s="463"/>
      <c r="H89" s="464"/>
      <c r="I89" s="463"/>
      <c r="J89" s="518">
        <f t="shared" si="1"/>
        <v>41091</v>
      </c>
      <c r="K89" s="519">
        <v>344.25</v>
      </c>
    </row>
    <row r="90" spans="1:11">
      <c r="B90" s="461"/>
      <c r="C90" s="463"/>
      <c r="D90" s="463"/>
      <c r="E90" s="463"/>
      <c r="F90" s="463"/>
      <c r="G90" s="463"/>
      <c r="H90" s="464"/>
      <c r="I90" s="463"/>
      <c r="J90" s="518">
        <f t="shared" si="1"/>
        <v>41122</v>
      </c>
      <c r="K90" s="519">
        <v>340.07</v>
      </c>
    </row>
    <row r="91" spans="1:11">
      <c r="B91" s="461"/>
      <c r="C91" s="463"/>
      <c r="D91" s="463"/>
      <c r="E91" s="463"/>
      <c r="F91" s="463"/>
      <c r="G91" s="463"/>
      <c r="H91" s="464"/>
      <c r="I91" s="463"/>
      <c r="J91" s="518">
        <f t="shared" si="1"/>
        <v>41153</v>
      </c>
      <c r="K91" s="519">
        <v>365.98</v>
      </c>
    </row>
    <row r="92" spans="1:11">
      <c r="B92" s="465"/>
      <c r="C92" s="466"/>
      <c r="D92" s="466"/>
      <c r="E92" s="466"/>
      <c r="F92" s="466"/>
      <c r="G92" s="466"/>
      <c r="H92" s="467"/>
      <c r="I92" s="463"/>
      <c r="J92" s="520">
        <f>F6</f>
        <v>41183</v>
      </c>
      <c r="K92" s="521">
        <v>366.03</v>
      </c>
    </row>
    <row r="93" spans="1:11" ht="20.25">
      <c r="D93" s="395"/>
      <c r="E93" s="450" t="s">
        <v>622</v>
      </c>
      <c r="F93" s="395"/>
      <c r="G93" s="395"/>
      <c r="H93" s="463"/>
      <c r="I93" s="463"/>
    </row>
    <row r="94" spans="1:11" ht="20.25">
      <c r="A94" s="395"/>
      <c r="D94" s="185"/>
      <c r="E94" s="424" t="s">
        <v>659</v>
      </c>
      <c r="F94" s="424"/>
      <c r="G94" s="424"/>
      <c r="H94" s="463"/>
      <c r="K94" s="395"/>
    </row>
    <row r="95" spans="1:11">
      <c r="A95" s="545"/>
      <c r="E95" s="548" t="s">
        <v>361</v>
      </c>
      <c r="F95" s="426"/>
      <c r="G95" s="426"/>
      <c r="H95" s="463"/>
      <c r="K95" s="185"/>
    </row>
    <row r="96" spans="1:11">
      <c r="E96" s="463"/>
      <c r="F96" s="463"/>
      <c r="G96" s="463"/>
      <c r="H96" s="463"/>
    </row>
    <row r="97" spans="3:11">
      <c r="E97" s="449" t="s">
        <v>671</v>
      </c>
      <c r="F97" s="546">
        <f>G6</f>
        <v>41214</v>
      </c>
      <c r="G97" s="486">
        <v>2.5790000000000002</v>
      </c>
    </row>
    <row r="99" spans="3:11">
      <c r="C99" s="458"/>
      <c r="D99" s="459"/>
      <c r="E99" s="459"/>
      <c r="F99" s="459"/>
      <c r="G99" s="459"/>
      <c r="H99" s="459"/>
      <c r="I99" s="459"/>
      <c r="J99" s="460"/>
    </row>
    <row r="100" spans="3:11">
      <c r="C100" s="461"/>
      <c r="D100" s="463"/>
      <c r="E100" s="463"/>
      <c r="F100" s="463"/>
      <c r="G100" s="463"/>
      <c r="H100" s="463"/>
      <c r="I100" s="463"/>
      <c r="J100" s="464"/>
    </row>
    <row r="101" spans="3:11">
      <c r="C101" s="461"/>
      <c r="D101" s="463"/>
      <c r="E101" s="463"/>
      <c r="F101" s="463"/>
      <c r="G101" s="463"/>
      <c r="H101" s="463"/>
      <c r="I101" s="463"/>
      <c r="J101" s="464"/>
    </row>
    <row r="102" spans="3:11">
      <c r="C102" s="461"/>
      <c r="D102" s="463"/>
      <c r="E102" s="463"/>
      <c r="F102" s="463"/>
      <c r="G102" s="463"/>
      <c r="H102" s="463"/>
      <c r="I102" s="463"/>
      <c r="J102" s="464"/>
    </row>
    <row r="103" spans="3:11">
      <c r="C103" s="461"/>
      <c r="D103" s="463"/>
      <c r="E103" s="463"/>
      <c r="F103" s="463"/>
      <c r="G103" s="463"/>
      <c r="H103" s="463"/>
      <c r="I103" s="463"/>
      <c r="J103" s="464"/>
    </row>
    <row r="104" spans="3:11">
      <c r="C104" s="461"/>
      <c r="D104" s="463"/>
      <c r="E104" s="463"/>
      <c r="F104" s="463"/>
      <c r="G104" s="463"/>
      <c r="H104" s="463"/>
      <c r="I104" s="463"/>
      <c r="J104" s="464"/>
      <c r="K104" s="416"/>
    </row>
    <row r="105" spans="3:11">
      <c r="C105" s="461"/>
      <c r="D105" s="463"/>
      <c r="E105" s="463"/>
      <c r="F105" s="463"/>
      <c r="G105" s="463"/>
      <c r="H105" s="463"/>
      <c r="I105" s="463"/>
      <c r="J105" s="464"/>
    </row>
    <row r="106" spans="3:11">
      <c r="C106" s="461"/>
      <c r="D106" s="463"/>
      <c r="E106" s="463"/>
      <c r="F106" s="463"/>
      <c r="G106" s="463"/>
      <c r="H106" s="463"/>
      <c r="I106" s="463"/>
      <c r="J106" s="464"/>
    </row>
    <row r="107" spans="3:11">
      <c r="C107" s="461"/>
      <c r="D107" s="463"/>
      <c r="E107" s="463"/>
      <c r="F107" s="463"/>
      <c r="G107" s="463"/>
      <c r="H107" s="463"/>
      <c r="I107" s="463"/>
      <c r="J107" s="464"/>
    </row>
    <row r="108" spans="3:11">
      <c r="C108" s="461"/>
      <c r="D108" s="463"/>
      <c r="E108" s="463"/>
      <c r="F108" s="463"/>
      <c r="G108" s="463"/>
      <c r="H108" s="463"/>
      <c r="I108" s="463"/>
      <c r="J108" s="464"/>
    </row>
    <row r="109" spans="3:11">
      <c r="C109" s="461"/>
      <c r="D109" s="463"/>
      <c r="E109" s="463"/>
      <c r="F109" s="463"/>
      <c r="G109" s="463"/>
      <c r="H109" s="463"/>
      <c r="I109" s="463"/>
      <c r="J109" s="464"/>
    </row>
    <row r="110" spans="3:11">
      <c r="C110" s="461"/>
      <c r="D110" s="463"/>
      <c r="E110" s="463"/>
      <c r="F110" s="463"/>
      <c r="G110" s="463"/>
      <c r="H110" s="463"/>
      <c r="I110" s="463"/>
      <c r="J110" s="464"/>
    </row>
    <row r="111" spans="3:11">
      <c r="C111" s="461"/>
      <c r="D111" s="463"/>
      <c r="E111" s="463"/>
      <c r="F111" s="463"/>
      <c r="G111" s="463"/>
      <c r="H111" s="463"/>
      <c r="I111" s="463"/>
      <c r="J111" s="464"/>
    </row>
    <row r="112" spans="3:11">
      <c r="C112" s="461"/>
      <c r="D112" s="463"/>
      <c r="E112" s="463"/>
      <c r="F112" s="463"/>
      <c r="G112" s="463"/>
      <c r="H112" s="463"/>
      <c r="I112" s="463"/>
      <c r="J112" s="464"/>
    </row>
    <row r="113" spans="3:10">
      <c r="C113" s="461"/>
      <c r="D113" s="463"/>
      <c r="E113" s="463"/>
      <c r="F113" s="463"/>
      <c r="G113" s="463"/>
      <c r="H113" s="463"/>
      <c r="I113" s="463"/>
      <c r="J113" s="464"/>
    </row>
    <row r="114" spans="3:10">
      <c r="C114" s="461"/>
      <c r="D114" s="463"/>
      <c r="E114" s="463"/>
      <c r="F114" s="463"/>
      <c r="G114" s="463"/>
      <c r="H114" s="463"/>
      <c r="I114" s="463"/>
      <c r="J114" s="464"/>
    </row>
    <row r="115" spans="3:10">
      <c r="C115" s="461"/>
      <c r="D115" s="463"/>
      <c r="E115" s="463"/>
      <c r="F115" s="463"/>
      <c r="G115" s="463"/>
      <c r="H115" s="463"/>
      <c r="I115" s="463"/>
      <c r="J115" s="464"/>
    </row>
    <row r="116" spans="3:10">
      <c r="C116" s="461"/>
      <c r="D116" s="463"/>
      <c r="E116" s="463"/>
      <c r="F116" s="463"/>
      <c r="G116" s="463"/>
      <c r="H116" s="463"/>
      <c r="I116" s="463"/>
      <c r="J116" s="464"/>
    </row>
    <row r="117" spans="3:10">
      <c r="C117" s="461"/>
      <c r="D117" s="463"/>
      <c r="E117" s="463"/>
      <c r="F117" s="463"/>
      <c r="G117" s="463"/>
      <c r="H117" s="463"/>
      <c r="I117" s="463"/>
      <c r="J117" s="464"/>
    </row>
    <row r="118" spans="3:10">
      <c r="C118" s="461"/>
      <c r="D118" s="463"/>
      <c r="E118" s="463"/>
      <c r="F118" s="463"/>
      <c r="G118" s="463"/>
      <c r="H118" s="463"/>
      <c r="I118" s="463"/>
      <c r="J118" s="464"/>
    </row>
    <row r="119" spans="3:10">
      <c r="C119" s="461"/>
      <c r="D119" s="463"/>
      <c r="E119" s="463"/>
      <c r="F119" s="463"/>
      <c r="G119" s="463"/>
      <c r="H119" s="463"/>
      <c r="I119" s="463"/>
      <c r="J119" s="464"/>
    </row>
    <row r="120" spans="3:10">
      <c r="C120" s="461"/>
      <c r="D120" s="463"/>
      <c r="E120" s="463"/>
      <c r="F120" s="463"/>
      <c r="G120" s="463"/>
      <c r="H120" s="463"/>
      <c r="I120" s="463"/>
      <c r="J120" s="464"/>
    </row>
    <row r="121" spans="3:10">
      <c r="C121" s="461"/>
      <c r="D121" s="463"/>
      <c r="E121" s="463"/>
      <c r="F121" s="463"/>
      <c r="G121" s="463"/>
      <c r="H121" s="463"/>
      <c r="I121" s="463"/>
      <c r="J121" s="464"/>
    </row>
    <row r="122" spans="3:10">
      <c r="C122" s="461"/>
      <c r="D122" s="463"/>
      <c r="E122" s="463"/>
      <c r="F122" s="463"/>
      <c r="G122" s="463"/>
      <c r="H122" s="463"/>
      <c r="I122" s="463"/>
      <c r="J122" s="464"/>
    </row>
    <row r="123" spans="3:10">
      <c r="C123" s="461"/>
      <c r="D123" s="463"/>
      <c r="E123" s="463"/>
      <c r="F123" s="463"/>
      <c r="G123" s="463"/>
      <c r="H123" s="463"/>
      <c r="I123" s="463"/>
      <c r="J123" s="464"/>
    </row>
    <row r="124" spans="3:10">
      <c r="C124" s="461"/>
      <c r="D124" s="463"/>
      <c r="E124" s="463"/>
      <c r="F124" s="463"/>
      <c r="G124" s="463"/>
      <c r="H124" s="463"/>
      <c r="I124" s="463"/>
      <c r="J124" s="464"/>
    </row>
    <row r="125" spans="3:10">
      <c r="C125" s="461"/>
      <c r="D125" s="463"/>
      <c r="E125" s="463"/>
      <c r="F125" s="463"/>
      <c r="G125" s="463"/>
      <c r="H125" s="463"/>
      <c r="I125" s="463"/>
      <c r="J125" s="464"/>
    </row>
    <row r="126" spans="3:10">
      <c r="C126" s="461"/>
      <c r="D126" s="463"/>
      <c r="E126" s="463"/>
      <c r="F126" s="463"/>
      <c r="G126" s="463"/>
      <c r="H126" s="463"/>
      <c r="I126" s="463"/>
      <c r="J126" s="464"/>
    </row>
    <row r="127" spans="3:10">
      <c r="C127" s="461"/>
      <c r="D127" s="463"/>
      <c r="E127" s="463"/>
      <c r="F127" s="463"/>
      <c r="G127" s="463"/>
      <c r="H127" s="463"/>
      <c r="I127" s="463"/>
      <c r="J127" s="464"/>
    </row>
    <row r="128" spans="3:10">
      <c r="C128" s="461"/>
      <c r="D128" s="463"/>
      <c r="E128" s="463"/>
      <c r="F128" s="463"/>
      <c r="G128" s="463"/>
      <c r="H128" s="463"/>
      <c r="I128" s="463"/>
      <c r="J128" s="464"/>
    </row>
    <row r="129" spans="1:14">
      <c r="C129" s="461"/>
      <c r="D129" s="463"/>
      <c r="E129" s="463"/>
      <c r="F129" s="463"/>
      <c r="G129" s="463"/>
      <c r="H129" s="463"/>
      <c r="I129" s="463"/>
      <c r="J129" s="464"/>
    </row>
    <row r="130" spans="1:14">
      <c r="C130" s="461"/>
      <c r="D130" s="463"/>
      <c r="E130" s="463"/>
      <c r="F130" s="463"/>
      <c r="G130" s="463"/>
      <c r="H130" s="463"/>
      <c r="I130" s="463"/>
      <c r="J130" s="464"/>
    </row>
    <row r="131" spans="1:14">
      <c r="C131" s="465"/>
      <c r="D131" s="466"/>
      <c r="E131" s="466"/>
      <c r="F131" s="466"/>
      <c r="G131" s="466"/>
      <c r="H131" s="466"/>
      <c r="I131" s="466"/>
      <c r="J131" s="467"/>
    </row>
    <row r="133" spans="1:14" ht="20.25">
      <c r="B133" s="395"/>
      <c r="D133" s="450" t="s">
        <v>664</v>
      </c>
      <c r="E133" s="395"/>
      <c r="F133" s="395"/>
      <c r="G133" s="424"/>
      <c r="H133" s="424"/>
      <c r="I133" s="424"/>
    </row>
    <row r="134" spans="1:14">
      <c r="B134" s="417"/>
      <c r="D134" s="424" t="s">
        <v>665</v>
      </c>
      <c r="E134" s="424"/>
      <c r="F134" s="424"/>
      <c r="G134" s="424"/>
      <c r="H134" s="424"/>
      <c r="I134" s="424"/>
    </row>
    <row r="135" spans="1:14">
      <c r="B135" s="425"/>
      <c r="D135" s="547" t="s">
        <v>393</v>
      </c>
      <c r="E135" s="424"/>
      <c r="F135" s="424"/>
      <c r="G135" s="424"/>
      <c r="H135" s="424"/>
      <c r="I135" s="424"/>
      <c r="K135" s="425"/>
      <c r="L135" s="425"/>
      <c r="M135" s="425"/>
      <c r="N135" s="425"/>
    </row>
    <row r="136" spans="1:14" s="425" customFormat="1">
      <c r="A136" s="543"/>
      <c r="B136" s="177"/>
      <c r="C136" s="177"/>
      <c r="D136" s="463"/>
      <c r="E136" s="463"/>
      <c r="F136" s="463"/>
      <c r="G136" s="463"/>
      <c r="H136" s="543"/>
      <c r="I136" s="463"/>
      <c r="J136" s="177"/>
      <c r="K136" s="177"/>
      <c r="L136" s="177"/>
      <c r="M136" s="177"/>
      <c r="N136" s="177"/>
    </row>
    <row r="137" spans="1:14" ht="15.75">
      <c r="B137" s="491" t="s">
        <v>0</v>
      </c>
      <c r="C137" s="466"/>
      <c r="D137" s="466"/>
      <c r="G137" s="466"/>
      <c r="H137" s="466"/>
      <c r="I137" s="466"/>
      <c r="K137" s="491" t="s">
        <v>371</v>
      </c>
    </row>
    <row r="138" spans="1:14">
      <c r="B138" s="449" t="str">
        <f>CONCATENATE("Publicado en el Diario El Peruano el día ",TEXT(DATE(YEAR(H6),MONTH(H6)+1,DAY(H6)),"dd/mm/yyyy"))</f>
        <v>Publicado en el Diario El Peruano el día 01/12/2012</v>
      </c>
      <c r="C138" s="471"/>
      <c r="D138" s="471"/>
      <c r="E138" s="487">
        <v>208.463032</v>
      </c>
      <c r="G138" s="449" t="str">
        <f>CONCATENATE("Publicado en el Diario El Peruano el día ",TEXT(DATE(YEAR(I6),MONTH(I6)+1,DAY(I6)),"dd/mm/yyyy"))</f>
        <v>Publicado en el Diario El Peruano el día 01/11/2012</v>
      </c>
      <c r="H138" s="471"/>
      <c r="I138" s="472"/>
      <c r="J138" s="472"/>
      <c r="K138" s="487">
        <v>208.93420599999999</v>
      </c>
    </row>
    <row r="140" spans="1:14">
      <c r="B140" s="458"/>
      <c r="C140" s="459"/>
      <c r="D140" s="459"/>
      <c r="E140" s="460"/>
      <c r="G140" s="458"/>
      <c r="H140" s="459"/>
      <c r="I140" s="459"/>
      <c r="J140" s="459"/>
      <c r="K140" s="460"/>
    </row>
    <row r="141" spans="1:14" ht="15.75">
      <c r="B141" s="488" t="str">
        <f>CONCATENATE("IPM correspondiente a ",TEXT(DATE(YEAR(H6),MONTH(H6),DAY(H6)),"mmmm-yyyy"))</f>
        <v>IPM correspondiente a noviembre-2012</v>
      </c>
      <c r="C141" s="540"/>
      <c r="D141" s="489"/>
      <c r="E141" s="490"/>
      <c r="F141" s="452"/>
      <c r="G141" s="488" t="str">
        <f>CONCATENATE("IPM correspondiente a ",TEXT(DATE(YEAR(I6),MONTH(I6),DAY(I6)),"mmmm-yyyy"))</f>
        <v>IPM correspondiente a octubre-2012</v>
      </c>
      <c r="H141" s="540"/>
      <c r="I141" s="489"/>
      <c r="J141" s="489"/>
      <c r="K141" s="490"/>
    </row>
    <row r="142" spans="1:14">
      <c r="B142" s="465"/>
      <c r="C142" s="466"/>
      <c r="D142" s="466"/>
      <c r="E142" s="467"/>
      <c r="G142" s="465"/>
      <c r="H142" s="466"/>
      <c r="I142" s="466"/>
      <c r="J142" s="466"/>
      <c r="K142" s="467"/>
    </row>
    <row r="143" spans="1:14">
      <c r="B143" s="461"/>
      <c r="C143" s="463"/>
      <c r="D143" s="463"/>
      <c r="E143" s="464"/>
      <c r="G143" s="461"/>
      <c r="H143" s="463"/>
      <c r="I143" s="463"/>
      <c r="J143" s="463"/>
      <c r="K143" s="464"/>
    </row>
    <row r="144" spans="1:14">
      <c r="B144" s="461"/>
      <c r="C144" s="463"/>
      <c r="D144" s="463"/>
      <c r="E144" s="464"/>
      <c r="G144" s="461"/>
      <c r="H144" s="463"/>
      <c r="I144" s="463"/>
      <c r="J144" s="463"/>
      <c r="K144" s="464"/>
    </row>
    <row r="145" spans="2:11">
      <c r="B145" s="461"/>
      <c r="C145" s="463"/>
      <c r="D145" s="463"/>
      <c r="E145" s="464"/>
      <c r="G145" s="461"/>
      <c r="H145" s="463"/>
      <c r="I145" s="463"/>
      <c r="J145" s="463"/>
      <c r="K145" s="464"/>
    </row>
    <row r="146" spans="2:11">
      <c r="B146" s="461"/>
      <c r="C146" s="463"/>
      <c r="D146" s="463"/>
      <c r="E146" s="464"/>
      <c r="G146" s="461"/>
      <c r="H146" s="463"/>
      <c r="I146" s="463"/>
      <c r="J146" s="463"/>
      <c r="K146" s="464"/>
    </row>
    <row r="147" spans="2:11">
      <c r="B147" s="461"/>
      <c r="C147" s="463"/>
      <c r="D147" s="463"/>
      <c r="E147" s="464"/>
      <c r="G147" s="461"/>
      <c r="H147" s="463"/>
      <c r="I147" s="463"/>
      <c r="J147" s="463"/>
      <c r="K147" s="464"/>
    </row>
    <row r="148" spans="2:11">
      <c r="B148" s="461"/>
      <c r="C148" s="463"/>
      <c r="D148" s="463"/>
      <c r="E148" s="464"/>
      <c r="G148" s="461"/>
      <c r="H148" s="463"/>
      <c r="I148" s="463"/>
      <c r="J148" s="463"/>
      <c r="K148" s="464"/>
    </row>
    <row r="149" spans="2:11">
      <c r="B149" s="461"/>
      <c r="C149" s="463"/>
      <c r="D149" s="463"/>
      <c r="E149" s="464"/>
      <c r="G149" s="461"/>
      <c r="H149" s="463"/>
      <c r="I149" s="463"/>
      <c r="J149" s="463"/>
      <c r="K149" s="464"/>
    </row>
    <row r="150" spans="2:11">
      <c r="B150" s="461"/>
      <c r="C150" s="463"/>
      <c r="D150" s="463"/>
      <c r="E150" s="464"/>
      <c r="G150" s="461"/>
      <c r="H150" s="463"/>
      <c r="I150" s="463"/>
      <c r="J150" s="463"/>
      <c r="K150" s="464"/>
    </row>
    <row r="151" spans="2:11">
      <c r="B151" s="461"/>
      <c r="C151" s="463"/>
      <c r="D151" s="463"/>
      <c r="E151" s="464"/>
      <c r="G151" s="461"/>
      <c r="H151" s="463"/>
      <c r="I151" s="463"/>
      <c r="J151" s="463"/>
      <c r="K151" s="464"/>
    </row>
    <row r="152" spans="2:11">
      <c r="B152" s="461"/>
      <c r="C152" s="463"/>
      <c r="D152" s="463"/>
      <c r="E152" s="464"/>
      <c r="G152" s="461"/>
      <c r="H152" s="463"/>
      <c r="I152" s="463"/>
      <c r="J152" s="463"/>
      <c r="K152" s="464"/>
    </row>
    <row r="153" spans="2:11">
      <c r="B153" s="461"/>
      <c r="C153" s="463"/>
      <c r="D153" s="463"/>
      <c r="E153" s="464"/>
      <c r="G153" s="461"/>
      <c r="H153" s="463"/>
      <c r="I153" s="463"/>
      <c r="J153" s="463"/>
      <c r="K153" s="464"/>
    </row>
    <row r="154" spans="2:11">
      <c r="B154" s="461"/>
      <c r="C154" s="463"/>
      <c r="D154" s="463"/>
      <c r="E154" s="464"/>
      <c r="G154" s="461"/>
      <c r="H154" s="463"/>
      <c r="I154" s="463"/>
      <c r="J154" s="463"/>
      <c r="K154" s="464"/>
    </row>
    <row r="155" spans="2:11">
      <c r="B155" s="461"/>
      <c r="C155" s="463"/>
      <c r="D155" s="463"/>
      <c r="E155" s="464"/>
      <c r="G155" s="461"/>
      <c r="H155" s="463"/>
      <c r="I155" s="463"/>
      <c r="J155" s="463"/>
      <c r="K155" s="464"/>
    </row>
    <row r="156" spans="2:11">
      <c r="B156" s="461"/>
      <c r="C156" s="463"/>
      <c r="D156" s="463"/>
      <c r="E156" s="464"/>
      <c r="G156" s="461"/>
      <c r="H156" s="463"/>
      <c r="I156" s="463"/>
      <c r="J156" s="463"/>
      <c r="K156" s="464"/>
    </row>
    <row r="157" spans="2:11">
      <c r="B157" s="461"/>
      <c r="C157" s="463"/>
      <c r="D157" s="463"/>
      <c r="E157" s="464"/>
      <c r="G157" s="461"/>
      <c r="H157" s="463"/>
      <c r="I157" s="463"/>
      <c r="J157" s="463"/>
      <c r="K157" s="464"/>
    </row>
    <row r="158" spans="2:11">
      <c r="B158" s="461"/>
      <c r="C158" s="463"/>
      <c r="D158" s="463"/>
      <c r="E158" s="464"/>
      <c r="G158" s="461"/>
      <c r="H158" s="463"/>
      <c r="I158" s="463"/>
      <c r="J158" s="463"/>
      <c r="K158" s="464"/>
    </row>
    <row r="159" spans="2:11">
      <c r="B159" s="461"/>
      <c r="C159" s="463"/>
      <c r="D159" s="463"/>
      <c r="E159" s="464"/>
      <c r="G159" s="461"/>
      <c r="H159" s="463"/>
      <c r="I159" s="463"/>
      <c r="J159" s="463"/>
      <c r="K159" s="464"/>
    </row>
    <row r="160" spans="2:11">
      <c r="B160" s="461"/>
      <c r="C160" s="463"/>
      <c r="D160" s="463"/>
      <c r="E160" s="464"/>
      <c r="G160" s="461"/>
      <c r="H160" s="463"/>
      <c r="I160" s="463"/>
      <c r="J160" s="463"/>
      <c r="K160" s="464"/>
    </row>
    <row r="161" spans="2:11">
      <c r="B161" s="461"/>
      <c r="C161" s="463"/>
      <c r="D161" s="463"/>
      <c r="E161" s="464"/>
      <c r="G161" s="461"/>
      <c r="H161" s="463"/>
      <c r="I161" s="463"/>
      <c r="J161" s="463"/>
      <c r="K161" s="464"/>
    </row>
    <row r="162" spans="2:11">
      <c r="B162" s="461"/>
      <c r="C162" s="463"/>
      <c r="D162" s="463"/>
      <c r="E162" s="464"/>
      <c r="G162" s="461"/>
      <c r="H162" s="463"/>
      <c r="I162" s="463"/>
      <c r="J162" s="463"/>
      <c r="K162" s="464"/>
    </row>
    <row r="163" spans="2:11">
      <c r="B163" s="461"/>
      <c r="C163" s="463"/>
      <c r="D163" s="463"/>
      <c r="E163" s="464"/>
      <c r="G163" s="461"/>
      <c r="H163" s="463"/>
      <c r="I163" s="463"/>
      <c r="J163" s="463"/>
      <c r="K163" s="464"/>
    </row>
    <row r="164" spans="2:11">
      <c r="B164" s="465"/>
      <c r="C164" s="466"/>
      <c r="D164" s="466"/>
      <c r="E164" s="467"/>
      <c r="G164" s="465"/>
      <c r="H164" s="466"/>
      <c r="I164" s="466"/>
      <c r="J164" s="466"/>
      <c r="K164" s="467"/>
    </row>
    <row r="166" spans="2:11">
      <c r="B166" s="458"/>
      <c r="C166" s="459"/>
      <c r="D166" s="459"/>
      <c r="E166" s="460"/>
      <c r="G166" s="458"/>
      <c r="H166" s="459"/>
      <c r="I166" s="459"/>
      <c r="J166" s="459"/>
      <c r="K166" s="460"/>
    </row>
    <row r="167" spans="2:11" ht="15.75">
      <c r="B167" s="488" t="str">
        <f>CONCATENATE("IPC correspondiente a ",TEXT(DATE(YEAR(H6),MONTH(H6),DAY(H6)),"mmmm-yyyy"))</f>
        <v>IPC correspondiente a noviembre-2012</v>
      </c>
      <c r="C167" s="540"/>
      <c r="D167" s="489"/>
      <c r="E167" s="490"/>
      <c r="F167" s="452"/>
      <c r="G167" s="488" t="str">
        <f>CONCATENATE("IPC correspondiente a ",TEXT(DATE(YEAR(I6),MONTH(I6),DAY(I6)),"mmmm-yyyy"))</f>
        <v>IPC correspondiente a octubre-2012</v>
      </c>
      <c r="H167" s="540"/>
      <c r="I167" s="489"/>
      <c r="J167" s="489"/>
      <c r="K167" s="490"/>
    </row>
    <row r="168" spans="2:11">
      <c r="B168" s="465"/>
      <c r="C168" s="466"/>
      <c r="D168" s="466"/>
      <c r="E168" s="467"/>
      <c r="G168" s="465"/>
      <c r="H168" s="466"/>
      <c r="I168" s="466"/>
      <c r="J168" s="466"/>
      <c r="K168" s="467"/>
    </row>
    <row r="169" spans="2:11">
      <c r="B169" s="461"/>
      <c r="C169" s="463"/>
      <c r="D169" s="463"/>
      <c r="E169" s="464"/>
      <c r="G169" s="461"/>
      <c r="H169" s="463"/>
      <c r="I169" s="463"/>
      <c r="J169" s="463"/>
      <c r="K169" s="464"/>
    </row>
    <row r="170" spans="2:11">
      <c r="B170" s="461"/>
      <c r="C170" s="463"/>
      <c r="D170" s="463"/>
      <c r="E170" s="464"/>
      <c r="G170" s="461"/>
      <c r="H170" s="463"/>
      <c r="I170" s="463"/>
      <c r="J170" s="463"/>
      <c r="K170" s="464"/>
    </row>
    <row r="171" spans="2:11">
      <c r="B171" s="461"/>
      <c r="C171" s="463"/>
      <c r="D171" s="463"/>
      <c r="E171" s="464"/>
      <c r="G171" s="461"/>
      <c r="H171" s="463"/>
      <c r="I171" s="463"/>
      <c r="J171" s="463"/>
      <c r="K171" s="464"/>
    </row>
    <row r="172" spans="2:11">
      <c r="B172" s="461"/>
      <c r="C172" s="463"/>
      <c r="D172" s="463"/>
      <c r="E172" s="464"/>
      <c r="G172" s="461"/>
      <c r="H172" s="463"/>
      <c r="I172" s="463"/>
      <c r="J172" s="463"/>
      <c r="K172" s="464"/>
    </row>
    <row r="173" spans="2:11">
      <c r="B173" s="461"/>
      <c r="C173" s="463"/>
      <c r="D173" s="463"/>
      <c r="E173" s="464"/>
      <c r="G173" s="461"/>
      <c r="H173" s="463"/>
      <c r="I173" s="463"/>
      <c r="J173" s="463"/>
      <c r="K173" s="464"/>
    </row>
    <row r="174" spans="2:11">
      <c r="B174" s="461"/>
      <c r="C174" s="463"/>
      <c r="D174" s="463"/>
      <c r="E174" s="464"/>
      <c r="G174" s="461"/>
      <c r="H174" s="463"/>
      <c r="I174" s="463"/>
      <c r="J174" s="463"/>
      <c r="K174" s="464"/>
    </row>
    <row r="175" spans="2:11">
      <c r="B175" s="461"/>
      <c r="C175" s="463"/>
      <c r="D175" s="463"/>
      <c r="E175" s="464"/>
      <c r="G175" s="461"/>
      <c r="H175" s="463"/>
      <c r="I175" s="463"/>
      <c r="J175" s="463"/>
      <c r="K175" s="464"/>
    </row>
    <row r="176" spans="2:11">
      <c r="B176" s="461"/>
      <c r="C176" s="463"/>
      <c r="D176" s="463"/>
      <c r="E176" s="464"/>
      <c r="G176" s="461"/>
      <c r="H176" s="463"/>
      <c r="I176" s="463"/>
      <c r="J176" s="463"/>
      <c r="K176" s="464"/>
    </row>
    <row r="177" spans="2:11">
      <c r="B177" s="461"/>
      <c r="C177" s="463"/>
      <c r="D177" s="463"/>
      <c r="E177" s="464"/>
      <c r="G177" s="461"/>
      <c r="H177" s="463"/>
      <c r="I177" s="463"/>
      <c r="J177" s="463"/>
      <c r="K177" s="464"/>
    </row>
    <row r="178" spans="2:11">
      <c r="B178" s="461"/>
      <c r="C178" s="463"/>
      <c r="D178" s="463"/>
      <c r="E178" s="464"/>
      <c r="G178" s="461"/>
      <c r="H178" s="463"/>
      <c r="I178" s="463"/>
      <c r="J178" s="463"/>
      <c r="K178" s="464"/>
    </row>
    <row r="179" spans="2:11">
      <c r="B179" s="461"/>
      <c r="C179" s="463"/>
      <c r="D179" s="463"/>
      <c r="E179" s="464"/>
      <c r="G179" s="461"/>
      <c r="H179" s="463"/>
      <c r="I179" s="463"/>
      <c r="J179" s="463"/>
      <c r="K179" s="464"/>
    </row>
    <row r="180" spans="2:11">
      <c r="B180" s="461"/>
      <c r="C180" s="463"/>
      <c r="D180" s="463"/>
      <c r="E180" s="464"/>
      <c r="G180" s="461"/>
      <c r="H180" s="463"/>
      <c r="I180" s="463"/>
      <c r="J180" s="463"/>
      <c r="K180" s="464"/>
    </row>
    <row r="181" spans="2:11">
      <c r="B181" s="461"/>
      <c r="C181" s="463"/>
      <c r="D181" s="463"/>
      <c r="E181" s="464"/>
      <c r="G181" s="461"/>
      <c r="H181" s="463"/>
      <c r="I181" s="463"/>
      <c r="J181" s="463"/>
      <c r="K181" s="464"/>
    </row>
    <row r="182" spans="2:11">
      <c r="B182" s="461"/>
      <c r="C182" s="463"/>
      <c r="D182" s="463"/>
      <c r="E182" s="464"/>
      <c r="G182" s="461"/>
      <c r="H182" s="463"/>
      <c r="I182" s="463"/>
      <c r="J182" s="463"/>
      <c r="K182" s="464"/>
    </row>
    <row r="183" spans="2:11">
      <c r="B183" s="461"/>
      <c r="C183" s="463"/>
      <c r="D183" s="463"/>
      <c r="E183" s="464"/>
      <c r="G183" s="461"/>
      <c r="H183" s="463"/>
      <c r="I183" s="463"/>
      <c r="J183" s="463"/>
      <c r="K183" s="464"/>
    </row>
    <row r="184" spans="2:11">
      <c r="B184" s="461"/>
      <c r="C184" s="463"/>
      <c r="D184" s="463"/>
      <c r="E184" s="464"/>
      <c r="G184" s="461"/>
      <c r="H184" s="463"/>
      <c r="I184" s="463"/>
      <c r="J184" s="463"/>
      <c r="K184" s="464"/>
    </row>
    <row r="185" spans="2:11">
      <c r="B185" s="461"/>
      <c r="C185" s="463"/>
      <c r="D185" s="463"/>
      <c r="E185" s="464"/>
      <c r="G185" s="461"/>
      <c r="H185" s="463"/>
      <c r="I185" s="463"/>
      <c r="J185" s="463"/>
      <c r="K185" s="464"/>
    </row>
    <row r="186" spans="2:11">
      <c r="B186" s="461"/>
      <c r="C186" s="463"/>
      <c r="D186" s="463"/>
      <c r="E186" s="464"/>
      <c r="G186" s="461"/>
      <c r="H186" s="463"/>
      <c r="I186" s="463"/>
      <c r="J186" s="463"/>
      <c r="K186" s="464"/>
    </row>
    <row r="187" spans="2:11">
      <c r="B187" s="461"/>
      <c r="C187" s="463"/>
      <c r="D187" s="463"/>
      <c r="E187" s="464"/>
      <c r="G187" s="461"/>
      <c r="H187" s="463"/>
      <c r="I187" s="463"/>
      <c r="J187" s="463"/>
      <c r="K187" s="464"/>
    </row>
    <row r="188" spans="2:11">
      <c r="B188" s="461"/>
      <c r="C188" s="463"/>
      <c r="D188" s="463"/>
      <c r="E188" s="464"/>
      <c r="G188" s="461"/>
      <c r="H188" s="463"/>
      <c r="I188" s="463"/>
      <c r="J188" s="463"/>
      <c r="K188" s="464"/>
    </row>
    <row r="189" spans="2:11">
      <c r="B189" s="461"/>
      <c r="C189" s="463"/>
      <c r="D189" s="463"/>
      <c r="E189" s="464"/>
      <c r="G189" s="461"/>
      <c r="H189" s="463"/>
      <c r="I189" s="463"/>
      <c r="J189" s="463"/>
      <c r="K189" s="464"/>
    </row>
    <row r="190" spans="2:11">
      <c r="B190" s="465"/>
      <c r="C190" s="466"/>
      <c r="D190" s="466"/>
      <c r="E190" s="467"/>
      <c r="G190" s="465"/>
      <c r="H190" s="466"/>
      <c r="I190" s="466"/>
      <c r="J190" s="466"/>
      <c r="K190" s="467"/>
    </row>
  </sheetData>
  <phoneticPr fontId="12" type="noConversion"/>
  <conditionalFormatting sqref="A19:A66">
    <cfRule type="cellIs" dxfId="2" priority="5" operator="equal">
      <formula>"Revisar"</formula>
    </cfRule>
  </conditionalFormatting>
  <conditionalFormatting sqref="A18:A66">
    <cfRule type="cellIs" priority="3" operator="equal">
      <formula>"""OK"""</formula>
    </cfRule>
  </conditionalFormatting>
  <hyperlinks>
    <hyperlink ref="E95" r:id="rId1"/>
    <hyperlink ref="D135" r:id="rId2"/>
    <hyperlink ref="C70" r:id="rId3"/>
  </hyperlinks>
  <printOptions horizontalCentered="1"/>
  <pageMargins left="0.55118110236220474" right="0.43307086614173229" top="0.6692913385826772" bottom="0.6692913385826772" header="0" footer="0"/>
  <pageSetup paperSize="9" scale="50" fitToHeight="2" orientation="portrait" r:id="rId4"/>
  <headerFooter alignWithMargins="0"/>
  <rowBreaks count="1" manualBreakCount="1">
    <brk id="92" max="11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X391"/>
  <sheetViews>
    <sheetView showGridLines="0" zoomScaleNormal="100" workbookViewId="0"/>
  </sheetViews>
  <sheetFormatPr baseColWidth="10" defaultColWidth="8.88671875" defaultRowHeight="15"/>
  <cols>
    <col min="1" max="1" width="14.88671875" style="177" customWidth="1"/>
    <col min="2" max="2" width="11.6640625" style="177" customWidth="1"/>
    <col min="3" max="4" width="11.44140625" style="177" customWidth="1"/>
    <col min="5" max="5" width="12.44140625" style="177" customWidth="1"/>
    <col min="6" max="6" width="12.109375" style="177" customWidth="1"/>
    <col min="7" max="8" width="12.77734375" style="177" customWidth="1"/>
    <col min="9" max="9" width="12.6640625" style="177" customWidth="1"/>
    <col min="10" max="10" width="13.33203125" style="177" customWidth="1"/>
    <col min="11" max="12" width="11.44140625" style="177" customWidth="1"/>
    <col min="13" max="13" width="14.44140625" style="177" customWidth="1"/>
    <col min="14" max="15" width="8.88671875" style="177"/>
    <col min="16" max="16" width="9.21875" style="177" customWidth="1"/>
    <col min="17" max="27" width="8.88671875" style="177"/>
    <col min="28" max="29" width="13.6640625" style="177" customWidth="1"/>
    <col min="30" max="32" width="15.21875" style="177" customWidth="1"/>
    <col min="33" max="16384" width="8.88671875" style="177"/>
  </cols>
  <sheetData>
    <row r="1" spans="1:24" ht="23.25">
      <c r="B1" s="185"/>
      <c r="C1" s="188" t="s">
        <v>656</v>
      </c>
      <c r="D1" s="185"/>
      <c r="E1" s="185"/>
      <c r="F1" s="185"/>
      <c r="G1" s="185"/>
      <c r="H1" s="185"/>
      <c r="I1" s="185"/>
      <c r="J1" s="185"/>
      <c r="L1" s="395"/>
    </row>
    <row r="2" spans="1:24" ht="20.25">
      <c r="B2" s="395"/>
      <c r="C2" s="395" t="str">
        <f>+CONCATENATE("Actualizado al ",TEXT(Historico!O5,"dd/mmmm/yyyy"))</f>
        <v>Actualizado al 04/diciembre/2012</v>
      </c>
      <c r="D2" s="185"/>
      <c r="E2" s="395"/>
      <c r="F2" s="395"/>
      <c r="G2" s="395"/>
      <c r="H2" s="185"/>
      <c r="I2" s="185"/>
      <c r="J2" s="185"/>
    </row>
    <row r="3" spans="1:24">
      <c r="A3" s="185"/>
      <c r="B3" s="185"/>
    </row>
    <row r="4" spans="1:24" ht="31.5">
      <c r="A4" s="492" t="s">
        <v>624</v>
      </c>
      <c r="B4" s="494">
        <f>IF(DAY(Historico!O5)=1,DATE(YEAR(Historico!O5),MONTH(Historico!O5)-2,DAY(Historico!O5)),DATE(YEAR(Historico!O5),MONTH(Historico!O5)-1,DAY(Historico!O5)-3))</f>
        <v>41214</v>
      </c>
      <c r="C4" s="453" t="s">
        <v>646</v>
      </c>
      <c r="D4" s="453"/>
      <c r="E4" s="453" t="s">
        <v>640</v>
      </c>
      <c r="F4" s="453"/>
      <c r="G4" s="453" t="s">
        <v>651</v>
      </c>
      <c r="H4" s="453"/>
      <c r="I4" s="453" t="s">
        <v>649</v>
      </c>
      <c r="J4" s="453"/>
      <c r="K4" s="453" t="s">
        <v>650</v>
      </c>
      <c r="L4" s="453"/>
    </row>
    <row r="5" spans="1:24" ht="55.5" customHeight="1">
      <c r="A5" s="180" t="s">
        <v>5</v>
      </c>
      <c r="B5" s="404" t="s">
        <v>52</v>
      </c>
      <c r="C5" s="405" t="s">
        <v>641</v>
      </c>
      <c r="D5" s="405" t="s">
        <v>642</v>
      </c>
      <c r="E5" s="405" t="s">
        <v>641</v>
      </c>
      <c r="F5" s="405" t="s">
        <v>642</v>
      </c>
      <c r="G5" s="405" t="s">
        <v>641</v>
      </c>
      <c r="H5" s="405" t="s">
        <v>642</v>
      </c>
      <c r="I5" s="406" t="s">
        <v>647</v>
      </c>
      <c r="J5" s="405" t="s">
        <v>648</v>
      </c>
      <c r="K5" s="405" t="s">
        <v>641</v>
      </c>
      <c r="L5" s="405" t="s">
        <v>642</v>
      </c>
    </row>
    <row r="6" spans="1:24" ht="23.25" customHeight="1">
      <c r="A6" s="407" t="s">
        <v>30</v>
      </c>
      <c r="B6" s="408" t="s">
        <v>55</v>
      </c>
      <c r="C6" s="451">
        <f>F101</f>
        <v>9.44</v>
      </c>
      <c r="D6" s="410">
        <f>F60</f>
        <v>6.34</v>
      </c>
      <c r="E6" s="410">
        <f t="shared" ref="E6:F6" si="0">F244</f>
        <v>8.6199999999999992</v>
      </c>
      <c r="F6" s="410">
        <f t="shared" si="0"/>
        <v>6.16</v>
      </c>
      <c r="G6" s="451">
        <f>MIN(E6,C6)</f>
        <v>8.6199999999999992</v>
      </c>
      <c r="H6" s="451">
        <f>MIN(F6,D6)</f>
        <v>6.16</v>
      </c>
      <c r="I6" s="470">
        <f>I101</f>
        <v>1.01</v>
      </c>
      <c r="J6" s="410">
        <f>I60</f>
        <v>0.39</v>
      </c>
      <c r="K6" s="451">
        <f t="shared" ref="K6:L10" si="1">+G6+I6</f>
        <v>9.629999999999999</v>
      </c>
      <c r="L6" s="451">
        <f t="shared" si="1"/>
        <v>6.55</v>
      </c>
      <c r="X6" s="409"/>
    </row>
    <row r="7" spans="1:24" ht="23.25" customHeight="1">
      <c r="A7" s="407" t="s">
        <v>36</v>
      </c>
      <c r="B7" s="408" t="s">
        <v>57</v>
      </c>
      <c r="C7" s="410">
        <f>F147</f>
        <v>9.19</v>
      </c>
      <c r="D7" s="475"/>
      <c r="E7" s="476"/>
      <c r="F7" s="476"/>
      <c r="G7" s="451">
        <f>C7</f>
        <v>9.19</v>
      </c>
      <c r="H7" s="451"/>
      <c r="I7" s="470">
        <f>I147</f>
        <v>1.2</v>
      </c>
      <c r="J7" s="475"/>
      <c r="K7" s="451">
        <f t="shared" si="1"/>
        <v>10.389999999999999</v>
      </c>
      <c r="L7" s="451">
        <f t="shared" si="1"/>
        <v>0</v>
      </c>
      <c r="X7" s="409"/>
    </row>
    <row r="8" spans="1:24" ht="23.25" customHeight="1">
      <c r="A8" s="407" t="s">
        <v>33</v>
      </c>
      <c r="B8" s="408" t="s">
        <v>56</v>
      </c>
      <c r="C8" s="410">
        <f>F149</f>
        <v>9.69</v>
      </c>
      <c r="D8" s="410">
        <f>F150</f>
        <v>7.54</v>
      </c>
      <c r="E8" s="476"/>
      <c r="F8" s="476"/>
      <c r="G8" s="451">
        <f>C8</f>
        <v>9.69</v>
      </c>
      <c r="H8" s="451">
        <f>D8</f>
        <v>7.54</v>
      </c>
      <c r="I8" s="477"/>
      <c r="J8" s="478"/>
      <c r="K8" s="451">
        <f t="shared" si="1"/>
        <v>9.69</v>
      </c>
      <c r="L8" s="451">
        <f t="shared" si="1"/>
        <v>7.54</v>
      </c>
      <c r="X8" s="409"/>
    </row>
    <row r="9" spans="1:24" ht="23.25" customHeight="1">
      <c r="A9" s="407" t="s">
        <v>276</v>
      </c>
      <c r="B9" s="408" t="s">
        <v>57</v>
      </c>
      <c r="C9" s="410">
        <f>F147</f>
        <v>9.19</v>
      </c>
      <c r="D9" s="475"/>
      <c r="E9" s="476"/>
      <c r="F9" s="476"/>
      <c r="G9" s="451">
        <f>C9</f>
        <v>9.19</v>
      </c>
      <c r="H9" s="451"/>
      <c r="I9" s="410">
        <f>I147</f>
        <v>1.2</v>
      </c>
      <c r="J9" s="475"/>
      <c r="K9" s="451">
        <f t="shared" si="1"/>
        <v>10.389999999999999</v>
      </c>
      <c r="L9" s="451">
        <f t="shared" si="1"/>
        <v>0</v>
      </c>
      <c r="X9" s="409"/>
    </row>
    <row r="10" spans="1:24" ht="23.25" customHeight="1">
      <c r="A10" s="407" t="s">
        <v>34</v>
      </c>
      <c r="B10" s="408" t="s">
        <v>58</v>
      </c>
      <c r="C10" s="410">
        <f>F148</f>
        <v>9.8800000000000008</v>
      </c>
      <c r="D10" s="475"/>
      <c r="E10" s="476"/>
      <c r="F10" s="476"/>
      <c r="G10" s="451">
        <f>C10</f>
        <v>9.8800000000000008</v>
      </c>
      <c r="H10" s="451"/>
      <c r="I10" s="470">
        <f>I148</f>
        <v>1.01</v>
      </c>
      <c r="J10" s="475"/>
      <c r="K10" s="451">
        <f t="shared" si="1"/>
        <v>10.89</v>
      </c>
      <c r="L10" s="451">
        <f t="shared" si="1"/>
        <v>0</v>
      </c>
      <c r="X10" s="409"/>
    </row>
    <row r="11" spans="1:24">
      <c r="A11" s="411"/>
      <c r="G11" s="452"/>
      <c r="W11" s="409"/>
      <c r="X11" s="409"/>
    </row>
    <row r="12" spans="1:24" ht="33" customHeight="1">
      <c r="D12" s="493"/>
      <c r="E12" s="453" t="s">
        <v>640</v>
      </c>
      <c r="F12" s="453"/>
      <c r="G12" s="187"/>
      <c r="W12" s="409"/>
      <c r="X12" s="409"/>
    </row>
    <row r="13" spans="1:24" ht="76.5" customHeight="1">
      <c r="D13" s="180" t="s">
        <v>52</v>
      </c>
      <c r="E13" s="405" t="s">
        <v>645</v>
      </c>
      <c r="F13" s="405" t="s">
        <v>643</v>
      </c>
      <c r="G13" s="178" t="s">
        <v>11</v>
      </c>
      <c r="H13" s="405" t="s">
        <v>697</v>
      </c>
      <c r="I13" s="405" t="s">
        <v>644</v>
      </c>
      <c r="W13" s="409"/>
      <c r="X13" s="409"/>
    </row>
    <row r="14" spans="1:24" ht="31.5" customHeight="1">
      <c r="D14" s="407" t="s">
        <v>55</v>
      </c>
      <c r="E14" s="451">
        <f>G294</f>
        <v>106.15</v>
      </c>
      <c r="F14" s="550">
        <f>G345</f>
        <v>2.4918</v>
      </c>
      <c r="G14" s="183">
        <f>'ALUMINIO-COBRE-TC-IPM'!G97</f>
        <v>2.5790000000000002</v>
      </c>
      <c r="H14" s="183">
        <f>ROUND(E14*G14,3)</f>
        <v>273.76100000000002</v>
      </c>
      <c r="I14" s="183">
        <f>ROUND(F14*G14,3)</f>
        <v>6.4260000000000002</v>
      </c>
      <c r="W14" s="409"/>
      <c r="X14" s="409"/>
    </row>
    <row r="16" spans="1:24" ht="15.75">
      <c r="B16" s="185"/>
      <c r="C16" s="185"/>
      <c r="E16" s="184" t="s">
        <v>652</v>
      </c>
      <c r="F16" s="185"/>
      <c r="G16" s="185"/>
      <c r="H16" s="185"/>
      <c r="J16" s="185"/>
      <c r="K16" s="185"/>
      <c r="L16" s="185"/>
    </row>
    <row r="17" spans="1:12">
      <c r="D17" s="185" t="str">
        <f>CONCATENATE("Última Lista de Precios del mes anterior y disponible al día ",TEXT(IF(DAY(Historico!O5)=1,DATE(YEAR(Historico!O5),MONTH(Historico!O5)-1,DAY(Historico!O5)+1),Historico!O5-2),"dd/mm/yyyy"))</f>
        <v>Última Lista de Precios del mes anterior y disponible al día 02/12/2012</v>
      </c>
      <c r="E17" s="185"/>
      <c r="F17" s="185"/>
      <c r="G17" s="185"/>
      <c r="H17" s="185"/>
      <c r="I17" s="185"/>
    </row>
    <row r="18" spans="1:12">
      <c r="B18" s="495"/>
      <c r="C18" s="495"/>
      <c r="D18" s="549" t="s">
        <v>362</v>
      </c>
      <c r="E18" s="185"/>
      <c r="F18" s="497"/>
      <c r="G18" s="497"/>
      <c r="H18" s="497"/>
      <c r="I18" s="185"/>
    </row>
    <row r="19" spans="1:12">
      <c r="B19" s="495"/>
      <c r="C19" s="495"/>
      <c r="D19" s="495"/>
      <c r="E19" s="496"/>
      <c r="F19" s="497"/>
      <c r="G19" s="497"/>
      <c r="H19" s="497"/>
    </row>
    <row r="20" spans="1:12">
      <c r="D20" s="176" t="s">
        <v>698</v>
      </c>
      <c r="E20" s="471"/>
      <c r="F20" s="472"/>
      <c r="G20" s="498">
        <v>41241</v>
      </c>
      <c r="H20" s="499"/>
      <c r="I20" s="473"/>
    </row>
    <row r="22" spans="1:12">
      <c r="A22" s="458"/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60"/>
    </row>
    <row r="23" spans="1:12">
      <c r="A23" s="461"/>
      <c r="B23" s="463"/>
      <c r="C23" s="463"/>
      <c r="D23" s="463"/>
      <c r="E23" s="463"/>
      <c r="F23" s="463"/>
      <c r="G23" s="463"/>
      <c r="H23" s="463"/>
      <c r="I23" s="463"/>
      <c r="J23" s="463"/>
      <c r="K23" s="463"/>
      <c r="L23" s="464"/>
    </row>
    <row r="24" spans="1:12">
      <c r="A24" s="461"/>
      <c r="B24" s="463"/>
      <c r="C24" s="463"/>
      <c r="D24" s="463"/>
      <c r="E24" s="463"/>
      <c r="F24" s="463"/>
      <c r="G24" s="463"/>
      <c r="H24" s="463"/>
      <c r="I24" s="463"/>
      <c r="J24" s="463"/>
      <c r="K24" s="463"/>
      <c r="L24" s="464"/>
    </row>
    <row r="25" spans="1:12">
      <c r="A25" s="461"/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64"/>
    </row>
    <row r="26" spans="1:12">
      <c r="A26" s="461"/>
      <c r="B26" s="463"/>
      <c r="C26" s="463"/>
      <c r="D26" s="463"/>
      <c r="E26" s="463"/>
      <c r="F26" s="463"/>
      <c r="G26" s="463"/>
      <c r="H26" s="463"/>
      <c r="I26" s="463"/>
      <c r="J26" s="463"/>
      <c r="K26" s="463"/>
      <c r="L26" s="464"/>
    </row>
    <row r="27" spans="1:12">
      <c r="A27" s="461"/>
      <c r="B27" s="463"/>
      <c r="C27" s="463"/>
      <c r="D27" s="463"/>
      <c r="E27" s="463"/>
      <c r="F27" s="463"/>
      <c r="G27" s="463"/>
      <c r="H27" s="463"/>
      <c r="I27" s="463"/>
      <c r="J27" s="463"/>
      <c r="K27" s="463"/>
      <c r="L27" s="464"/>
    </row>
    <row r="28" spans="1:12">
      <c r="A28" s="461"/>
      <c r="B28" s="463"/>
      <c r="C28" s="463"/>
      <c r="D28" s="463"/>
      <c r="E28" s="463"/>
      <c r="F28" s="463"/>
      <c r="G28" s="463"/>
      <c r="H28" s="463"/>
      <c r="I28" s="463"/>
      <c r="J28" s="463"/>
      <c r="K28" s="463"/>
      <c r="L28" s="464"/>
    </row>
    <row r="29" spans="1:12">
      <c r="A29" s="461"/>
      <c r="B29" s="463"/>
      <c r="C29" s="463"/>
      <c r="D29" s="463"/>
      <c r="E29" s="463"/>
      <c r="F29" s="463"/>
      <c r="G29" s="463"/>
      <c r="H29" s="463"/>
      <c r="I29" s="463"/>
      <c r="J29" s="463"/>
      <c r="K29" s="463"/>
      <c r="L29" s="464"/>
    </row>
    <row r="30" spans="1:12">
      <c r="A30" s="461"/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4"/>
    </row>
    <row r="31" spans="1:12">
      <c r="A31" s="461"/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4"/>
    </row>
    <row r="32" spans="1:12">
      <c r="A32" s="461"/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4"/>
    </row>
    <row r="33" spans="1:12">
      <c r="A33" s="461"/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4"/>
    </row>
    <row r="34" spans="1:12">
      <c r="A34" s="461"/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4"/>
    </row>
    <row r="35" spans="1:12">
      <c r="A35" s="461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4"/>
    </row>
    <row r="36" spans="1:12">
      <c r="A36" s="461"/>
      <c r="B36" s="463"/>
      <c r="C36" s="463"/>
      <c r="D36" s="463"/>
      <c r="E36" s="463"/>
      <c r="F36" s="463"/>
      <c r="G36" s="463"/>
      <c r="H36" s="463"/>
      <c r="I36" s="463"/>
      <c r="J36" s="463"/>
      <c r="K36" s="463"/>
      <c r="L36" s="464"/>
    </row>
    <row r="37" spans="1:12">
      <c r="A37" s="461"/>
      <c r="B37" s="463"/>
      <c r="C37" s="463"/>
      <c r="D37" s="463"/>
      <c r="E37" s="463"/>
      <c r="F37" s="463"/>
      <c r="G37" s="463"/>
      <c r="H37" s="463"/>
      <c r="I37" s="463"/>
      <c r="J37" s="463"/>
      <c r="K37" s="463"/>
      <c r="L37" s="464"/>
    </row>
    <row r="38" spans="1:12">
      <c r="A38" s="461"/>
      <c r="B38" s="463"/>
      <c r="C38" s="463"/>
      <c r="D38" s="463"/>
      <c r="E38" s="463"/>
      <c r="F38" s="463"/>
      <c r="G38" s="463"/>
      <c r="H38" s="463"/>
      <c r="I38" s="463"/>
      <c r="J38" s="463"/>
      <c r="K38" s="463"/>
      <c r="L38" s="464"/>
    </row>
    <row r="39" spans="1:12">
      <c r="A39" s="461"/>
      <c r="B39" s="463"/>
      <c r="C39" s="463"/>
      <c r="D39" s="463"/>
      <c r="E39" s="463"/>
      <c r="F39" s="463"/>
      <c r="G39" s="463"/>
      <c r="H39" s="463"/>
      <c r="I39" s="463"/>
      <c r="J39" s="463"/>
      <c r="K39" s="463"/>
      <c r="L39" s="464"/>
    </row>
    <row r="40" spans="1:12">
      <c r="A40" s="461"/>
      <c r="B40" s="463"/>
      <c r="C40" s="463"/>
      <c r="D40" s="463"/>
      <c r="E40" s="463"/>
      <c r="F40" s="463"/>
      <c r="G40" s="463"/>
      <c r="H40" s="463"/>
      <c r="I40" s="463"/>
      <c r="J40" s="463"/>
      <c r="K40" s="463"/>
      <c r="L40" s="464"/>
    </row>
    <row r="41" spans="1:12">
      <c r="A41" s="461"/>
      <c r="B41" s="463"/>
      <c r="C41" s="463"/>
      <c r="D41" s="463"/>
      <c r="E41" s="463"/>
      <c r="F41" s="463"/>
      <c r="G41" s="463"/>
      <c r="H41" s="463"/>
      <c r="I41" s="463"/>
      <c r="J41" s="463"/>
      <c r="K41" s="463"/>
      <c r="L41" s="464"/>
    </row>
    <row r="42" spans="1:12">
      <c r="A42" s="461"/>
      <c r="B42" s="463"/>
      <c r="C42" s="463"/>
      <c r="D42" s="463"/>
      <c r="E42" s="463"/>
      <c r="F42" s="463"/>
      <c r="G42" s="463"/>
      <c r="H42" s="463"/>
      <c r="I42" s="463"/>
      <c r="J42" s="463"/>
      <c r="K42" s="463"/>
      <c r="L42" s="464"/>
    </row>
    <row r="43" spans="1:12">
      <c r="A43" s="461"/>
      <c r="B43" s="463"/>
      <c r="C43" s="463"/>
      <c r="D43" s="463"/>
      <c r="E43" s="463"/>
      <c r="F43" s="463"/>
      <c r="G43" s="463"/>
      <c r="H43" s="463"/>
      <c r="I43" s="463"/>
      <c r="J43" s="463"/>
      <c r="K43" s="463"/>
      <c r="L43" s="464"/>
    </row>
    <row r="44" spans="1:12">
      <c r="A44" s="461"/>
      <c r="B44" s="463"/>
      <c r="C44" s="463"/>
      <c r="D44" s="463"/>
      <c r="E44" s="463"/>
      <c r="F44" s="463"/>
      <c r="G44" s="463"/>
      <c r="H44" s="463"/>
      <c r="I44" s="463"/>
      <c r="J44" s="463"/>
      <c r="K44" s="463"/>
      <c r="L44" s="464"/>
    </row>
    <row r="45" spans="1:12">
      <c r="A45" s="461"/>
      <c r="B45" s="463"/>
      <c r="C45" s="463"/>
      <c r="D45" s="463"/>
      <c r="E45" s="463"/>
      <c r="F45" s="463"/>
      <c r="G45" s="463"/>
      <c r="H45" s="463"/>
      <c r="I45" s="463"/>
      <c r="J45" s="463"/>
      <c r="K45" s="463"/>
      <c r="L45" s="464"/>
    </row>
    <row r="46" spans="1:12">
      <c r="A46" s="461"/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4"/>
    </row>
    <row r="47" spans="1:12">
      <c r="A47" s="461"/>
      <c r="B47" s="463"/>
      <c r="C47" s="463"/>
      <c r="D47" s="463"/>
      <c r="E47" s="463"/>
      <c r="F47" s="463"/>
      <c r="G47" s="463"/>
      <c r="H47" s="463"/>
      <c r="I47" s="463"/>
      <c r="J47" s="463"/>
      <c r="K47" s="463"/>
      <c r="L47" s="464"/>
    </row>
    <row r="48" spans="1:12">
      <c r="A48" s="461"/>
      <c r="B48" s="463"/>
      <c r="C48" s="463"/>
      <c r="D48" s="463"/>
      <c r="E48" s="463"/>
      <c r="F48" s="463"/>
      <c r="G48" s="463"/>
      <c r="H48" s="463"/>
      <c r="I48" s="463"/>
      <c r="J48" s="463"/>
      <c r="K48" s="463"/>
      <c r="L48" s="464"/>
    </row>
    <row r="49" spans="1:12">
      <c r="A49" s="461"/>
      <c r="B49" s="463"/>
      <c r="C49" s="463"/>
      <c r="D49" s="463"/>
      <c r="E49" s="463"/>
      <c r="F49" s="463"/>
      <c r="G49" s="463"/>
      <c r="H49" s="463"/>
      <c r="I49" s="463"/>
      <c r="J49" s="463"/>
      <c r="K49" s="463"/>
      <c r="L49" s="464"/>
    </row>
    <row r="50" spans="1:12">
      <c r="A50" s="461"/>
      <c r="B50" s="463"/>
      <c r="C50" s="463"/>
      <c r="D50" s="463"/>
      <c r="E50" s="463"/>
      <c r="F50" s="463"/>
      <c r="G50" s="463"/>
      <c r="H50" s="463"/>
      <c r="I50" s="463"/>
      <c r="J50" s="463"/>
      <c r="K50" s="463"/>
      <c r="L50" s="464"/>
    </row>
    <row r="51" spans="1:12">
      <c r="A51" s="461"/>
      <c r="B51" s="463"/>
      <c r="C51" s="463"/>
      <c r="D51" s="463"/>
      <c r="E51" s="463"/>
      <c r="F51" s="463"/>
      <c r="G51" s="463"/>
      <c r="H51" s="463"/>
      <c r="I51" s="463"/>
      <c r="J51" s="463"/>
      <c r="K51" s="463"/>
      <c r="L51" s="464"/>
    </row>
    <row r="52" spans="1:12">
      <c r="A52" s="461"/>
      <c r="B52" s="463"/>
      <c r="C52" s="463"/>
      <c r="D52" s="463"/>
      <c r="E52" s="463"/>
      <c r="F52" s="463"/>
      <c r="G52" s="463"/>
      <c r="H52" s="463"/>
      <c r="I52" s="463"/>
      <c r="J52" s="463"/>
      <c r="K52" s="463"/>
      <c r="L52" s="464"/>
    </row>
    <row r="53" spans="1:12">
      <c r="A53" s="461"/>
      <c r="B53" s="463"/>
      <c r="C53" s="463"/>
      <c r="D53" s="463"/>
      <c r="E53" s="463"/>
      <c r="F53" s="463"/>
      <c r="G53" s="463"/>
      <c r="H53" s="463"/>
      <c r="I53" s="463"/>
      <c r="J53" s="463"/>
      <c r="K53" s="463"/>
      <c r="L53" s="464"/>
    </row>
    <row r="54" spans="1:12">
      <c r="A54" s="461"/>
      <c r="B54" s="463"/>
      <c r="C54" s="463"/>
      <c r="D54" s="463"/>
      <c r="E54" s="463"/>
      <c r="F54" s="463"/>
      <c r="G54" s="463"/>
      <c r="H54" s="463"/>
      <c r="I54" s="463"/>
      <c r="J54" s="463"/>
      <c r="K54" s="463"/>
      <c r="L54" s="464"/>
    </row>
    <row r="55" spans="1:12">
      <c r="A55" s="465"/>
      <c r="B55" s="466"/>
      <c r="C55" s="466"/>
      <c r="D55" s="466"/>
      <c r="E55" s="466"/>
      <c r="F55" s="466"/>
      <c r="G55" s="466"/>
      <c r="H55" s="466"/>
      <c r="I55" s="466"/>
      <c r="J55" s="466"/>
      <c r="K55" s="466"/>
      <c r="L55" s="467"/>
    </row>
    <row r="57" spans="1:12">
      <c r="A57" s="463"/>
      <c r="B57" s="463"/>
      <c r="C57" s="463"/>
      <c r="D57" s="463"/>
      <c r="E57" s="463"/>
      <c r="F57" s="463"/>
      <c r="G57" s="463"/>
      <c r="H57" s="463"/>
      <c r="I57" s="463"/>
      <c r="J57" s="463"/>
      <c r="K57" s="463"/>
      <c r="L57" s="463"/>
    </row>
    <row r="58" spans="1:12" ht="15.75">
      <c r="A58" s="463"/>
      <c r="B58" s="463"/>
      <c r="C58" s="468" t="s">
        <v>674</v>
      </c>
      <c r="D58" s="463"/>
      <c r="E58" s="424"/>
      <c r="F58" s="424"/>
      <c r="G58" s="463"/>
      <c r="H58" s="468" t="s">
        <v>678</v>
      </c>
      <c r="I58" s="424"/>
      <c r="J58" s="463"/>
      <c r="K58" s="463"/>
      <c r="L58" s="463"/>
    </row>
    <row r="59" spans="1:12" ht="30">
      <c r="A59" s="463"/>
      <c r="B59" s="463"/>
      <c r="C59" s="463"/>
      <c r="D59" s="454" t="s">
        <v>672</v>
      </c>
      <c r="E59" s="454" t="s">
        <v>675</v>
      </c>
      <c r="F59" s="455" t="s">
        <v>677</v>
      </c>
      <c r="G59" s="463"/>
      <c r="H59" s="463"/>
      <c r="I59" s="455" t="s">
        <v>673</v>
      </c>
      <c r="J59" s="463"/>
      <c r="K59" s="463"/>
      <c r="L59" s="463"/>
    </row>
    <row r="60" spans="1:12" ht="37.5" customHeight="1">
      <c r="A60" s="463"/>
      <c r="B60" s="463"/>
      <c r="C60" s="454">
        <v>20</v>
      </c>
      <c r="D60" s="457" t="s">
        <v>57</v>
      </c>
      <c r="E60" s="456" t="s">
        <v>676</v>
      </c>
      <c r="F60" s="469">
        <v>6.34</v>
      </c>
      <c r="G60" s="463"/>
      <c r="H60" s="455" t="s">
        <v>676</v>
      </c>
      <c r="I60" s="469">
        <v>0.39</v>
      </c>
      <c r="J60" s="463"/>
      <c r="K60" s="463"/>
      <c r="L60" s="463"/>
    </row>
    <row r="61" spans="1:12">
      <c r="A61" s="466"/>
      <c r="B61" s="466"/>
      <c r="C61" s="466"/>
      <c r="D61" s="466"/>
      <c r="E61" s="466"/>
      <c r="F61" s="466"/>
      <c r="G61" s="466"/>
      <c r="H61" s="466"/>
      <c r="I61" s="466"/>
      <c r="J61" s="466"/>
      <c r="K61" s="466"/>
      <c r="L61" s="466"/>
    </row>
    <row r="62" spans="1:12">
      <c r="A62" s="458"/>
      <c r="B62" s="459"/>
      <c r="C62" s="459"/>
      <c r="D62" s="459"/>
      <c r="E62" s="459"/>
      <c r="F62" s="459"/>
      <c r="G62" s="459"/>
      <c r="H62" s="459"/>
      <c r="I62" s="459"/>
      <c r="J62" s="459"/>
      <c r="K62" s="459"/>
      <c r="L62" s="460"/>
    </row>
    <row r="63" spans="1:12">
      <c r="A63" s="461"/>
      <c r="B63" s="463"/>
      <c r="C63" s="463"/>
      <c r="D63" s="463"/>
      <c r="E63" s="463"/>
      <c r="F63" s="463"/>
      <c r="G63" s="463"/>
      <c r="H63" s="463"/>
      <c r="I63" s="463"/>
      <c r="J63" s="463"/>
      <c r="K63" s="463"/>
      <c r="L63" s="464"/>
    </row>
    <row r="64" spans="1:12">
      <c r="A64" s="461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4"/>
    </row>
    <row r="65" spans="1:12">
      <c r="A65" s="461"/>
      <c r="B65" s="463"/>
      <c r="C65" s="463"/>
      <c r="D65" s="463"/>
      <c r="E65" s="463"/>
      <c r="F65" s="463"/>
      <c r="G65" s="463"/>
      <c r="H65" s="463"/>
      <c r="I65" s="463"/>
      <c r="J65" s="463"/>
      <c r="K65" s="463"/>
      <c r="L65" s="464"/>
    </row>
    <row r="66" spans="1:12">
      <c r="A66" s="461"/>
      <c r="B66" s="463"/>
      <c r="C66" s="463"/>
      <c r="D66" s="463"/>
      <c r="E66" s="463"/>
      <c r="F66" s="463"/>
      <c r="G66" s="463"/>
      <c r="H66" s="463"/>
      <c r="I66" s="463"/>
      <c r="J66" s="463"/>
      <c r="K66" s="463"/>
      <c r="L66" s="464"/>
    </row>
    <row r="67" spans="1:12">
      <c r="A67" s="461"/>
      <c r="B67" s="463"/>
      <c r="C67" s="463"/>
      <c r="D67" s="463"/>
      <c r="E67" s="463"/>
      <c r="F67" s="463"/>
      <c r="G67" s="463"/>
      <c r="H67" s="463"/>
      <c r="I67" s="463"/>
      <c r="J67" s="463"/>
      <c r="K67" s="463"/>
      <c r="L67" s="464"/>
    </row>
    <row r="68" spans="1:12">
      <c r="A68" s="461"/>
      <c r="B68" s="463"/>
      <c r="C68" s="463"/>
      <c r="D68" s="463"/>
      <c r="E68" s="463"/>
      <c r="F68" s="463"/>
      <c r="G68" s="463"/>
      <c r="H68" s="463"/>
      <c r="I68" s="463"/>
      <c r="J68" s="463"/>
      <c r="K68" s="463"/>
      <c r="L68" s="464"/>
    </row>
    <row r="69" spans="1:12">
      <c r="A69" s="461"/>
      <c r="B69" s="463"/>
      <c r="C69" s="463"/>
      <c r="D69" s="463"/>
      <c r="E69" s="463"/>
      <c r="F69" s="463"/>
      <c r="G69" s="463"/>
      <c r="H69" s="463"/>
      <c r="I69" s="463"/>
      <c r="J69" s="463"/>
      <c r="K69" s="463"/>
      <c r="L69" s="464"/>
    </row>
    <row r="70" spans="1:12">
      <c r="A70" s="461"/>
      <c r="B70" s="463"/>
      <c r="C70" s="463"/>
      <c r="D70" s="463"/>
      <c r="E70" s="463"/>
      <c r="F70" s="463"/>
      <c r="G70" s="463"/>
      <c r="H70" s="463"/>
      <c r="I70" s="463"/>
      <c r="J70" s="463"/>
      <c r="K70" s="463"/>
      <c r="L70" s="464"/>
    </row>
    <row r="71" spans="1:12">
      <c r="A71" s="461"/>
      <c r="B71" s="463"/>
      <c r="C71" s="463"/>
      <c r="D71" s="463"/>
      <c r="E71" s="463"/>
      <c r="F71" s="463"/>
      <c r="G71" s="463"/>
      <c r="H71" s="463"/>
      <c r="I71" s="463"/>
      <c r="J71" s="463"/>
      <c r="K71" s="463"/>
      <c r="L71" s="464"/>
    </row>
    <row r="72" spans="1:12">
      <c r="A72" s="461"/>
      <c r="B72" s="463"/>
      <c r="C72" s="463"/>
      <c r="D72" s="463"/>
      <c r="E72" s="463"/>
      <c r="F72" s="463"/>
      <c r="G72" s="463"/>
      <c r="H72" s="463"/>
      <c r="I72" s="463"/>
      <c r="J72" s="463"/>
      <c r="K72" s="463"/>
      <c r="L72" s="464"/>
    </row>
    <row r="73" spans="1:12">
      <c r="A73" s="461"/>
      <c r="B73" s="463"/>
      <c r="C73" s="463"/>
      <c r="D73" s="463"/>
      <c r="E73" s="463"/>
      <c r="F73" s="463"/>
      <c r="G73" s="463"/>
      <c r="H73" s="463"/>
      <c r="I73" s="463"/>
      <c r="J73" s="463"/>
      <c r="K73" s="463"/>
      <c r="L73" s="464"/>
    </row>
    <row r="74" spans="1:12">
      <c r="A74" s="461"/>
      <c r="B74" s="463"/>
      <c r="C74" s="463"/>
      <c r="D74" s="463"/>
      <c r="E74" s="463"/>
      <c r="F74" s="463"/>
      <c r="G74" s="463"/>
      <c r="H74" s="463"/>
      <c r="I74" s="463"/>
      <c r="J74" s="463"/>
      <c r="K74" s="463"/>
      <c r="L74" s="464"/>
    </row>
    <row r="75" spans="1:12">
      <c r="A75" s="461"/>
      <c r="B75" s="463"/>
      <c r="C75" s="463"/>
      <c r="D75" s="463"/>
      <c r="E75" s="463"/>
      <c r="F75" s="463"/>
      <c r="G75" s="463"/>
      <c r="H75" s="463"/>
      <c r="I75" s="463"/>
      <c r="J75" s="463"/>
      <c r="K75" s="463"/>
      <c r="L75" s="464"/>
    </row>
    <row r="76" spans="1:12">
      <c r="A76" s="461"/>
      <c r="B76" s="463"/>
      <c r="C76" s="463"/>
      <c r="D76" s="463"/>
      <c r="E76" s="463"/>
      <c r="F76" s="463"/>
      <c r="G76" s="463"/>
      <c r="H76" s="463"/>
      <c r="I76" s="463"/>
      <c r="J76" s="463"/>
      <c r="K76" s="463"/>
      <c r="L76" s="464"/>
    </row>
    <row r="77" spans="1:12">
      <c r="A77" s="461"/>
      <c r="B77" s="463"/>
      <c r="C77" s="463"/>
      <c r="D77" s="463"/>
      <c r="E77" s="463"/>
      <c r="F77" s="463"/>
      <c r="G77" s="463"/>
      <c r="H77" s="463"/>
      <c r="I77" s="463"/>
      <c r="J77" s="463"/>
      <c r="K77" s="463"/>
      <c r="L77" s="464"/>
    </row>
    <row r="78" spans="1:12">
      <c r="A78" s="461"/>
      <c r="B78" s="463"/>
      <c r="C78" s="463"/>
      <c r="D78" s="463"/>
      <c r="E78" s="463"/>
      <c r="F78" s="463"/>
      <c r="G78" s="463"/>
      <c r="H78" s="463"/>
      <c r="I78" s="463"/>
      <c r="J78" s="463"/>
      <c r="K78" s="463"/>
      <c r="L78" s="464"/>
    </row>
    <row r="79" spans="1:12">
      <c r="A79" s="461"/>
      <c r="B79" s="463"/>
      <c r="C79" s="463"/>
      <c r="D79" s="463"/>
      <c r="E79" s="463"/>
      <c r="F79" s="463"/>
      <c r="G79" s="463"/>
      <c r="H79" s="463"/>
      <c r="I79" s="463"/>
      <c r="J79" s="463"/>
      <c r="K79" s="463"/>
      <c r="L79" s="464"/>
    </row>
    <row r="80" spans="1:12">
      <c r="A80" s="461"/>
      <c r="B80" s="463"/>
      <c r="C80" s="463"/>
      <c r="D80" s="463"/>
      <c r="E80" s="463"/>
      <c r="F80" s="463"/>
      <c r="G80" s="463"/>
      <c r="H80" s="463"/>
      <c r="I80" s="463"/>
      <c r="J80" s="463"/>
      <c r="K80" s="463"/>
      <c r="L80" s="464"/>
    </row>
    <row r="81" spans="1:12">
      <c r="A81" s="461"/>
      <c r="B81" s="463"/>
      <c r="C81" s="463"/>
      <c r="D81" s="463"/>
      <c r="E81" s="463"/>
      <c r="F81" s="463"/>
      <c r="G81" s="463"/>
      <c r="H81" s="463"/>
      <c r="I81" s="463"/>
      <c r="J81" s="463"/>
      <c r="K81" s="463"/>
      <c r="L81" s="464"/>
    </row>
    <row r="82" spans="1:12">
      <c r="A82" s="461"/>
      <c r="B82" s="463"/>
      <c r="C82" s="463"/>
      <c r="D82" s="463"/>
      <c r="E82" s="463"/>
      <c r="F82" s="463"/>
      <c r="G82" s="463"/>
      <c r="H82" s="463"/>
      <c r="I82" s="463"/>
      <c r="J82" s="463"/>
      <c r="K82" s="463"/>
      <c r="L82" s="464"/>
    </row>
    <row r="83" spans="1:12">
      <c r="A83" s="461"/>
      <c r="B83" s="463"/>
      <c r="C83" s="463"/>
      <c r="D83" s="463"/>
      <c r="E83" s="463"/>
      <c r="F83" s="463"/>
      <c r="G83" s="463"/>
      <c r="H83" s="463"/>
      <c r="I83" s="463"/>
      <c r="J83" s="463"/>
      <c r="K83" s="463"/>
      <c r="L83" s="464"/>
    </row>
    <row r="84" spans="1:12">
      <c r="A84" s="461"/>
      <c r="B84" s="463"/>
      <c r="C84" s="463"/>
      <c r="D84" s="463"/>
      <c r="E84" s="463"/>
      <c r="F84" s="463"/>
      <c r="G84" s="463"/>
      <c r="H84" s="463"/>
      <c r="I84" s="463"/>
      <c r="J84" s="463"/>
      <c r="K84" s="463"/>
      <c r="L84" s="464"/>
    </row>
    <row r="85" spans="1:12">
      <c r="A85" s="461"/>
      <c r="B85" s="463"/>
      <c r="C85" s="463"/>
      <c r="D85" s="463"/>
      <c r="E85" s="463"/>
      <c r="F85" s="463"/>
      <c r="G85" s="463"/>
      <c r="H85" s="463"/>
      <c r="I85" s="463"/>
      <c r="J85" s="463"/>
      <c r="K85" s="463"/>
      <c r="L85" s="464"/>
    </row>
    <row r="86" spans="1:12">
      <c r="A86" s="461"/>
      <c r="B86" s="463"/>
      <c r="C86" s="463"/>
      <c r="D86" s="463"/>
      <c r="E86" s="463"/>
      <c r="F86" s="463"/>
      <c r="G86" s="463"/>
      <c r="H86" s="463"/>
      <c r="I86" s="463"/>
      <c r="J86" s="463"/>
      <c r="K86" s="463"/>
      <c r="L86" s="464"/>
    </row>
    <row r="87" spans="1:12">
      <c r="A87" s="461"/>
      <c r="B87" s="463"/>
      <c r="C87" s="463"/>
      <c r="D87" s="463"/>
      <c r="E87" s="463"/>
      <c r="F87" s="463"/>
      <c r="G87" s="463"/>
      <c r="H87" s="463"/>
      <c r="I87" s="463"/>
      <c r="J87" s="463"/>
      <c r="K87" s="463"/>
      <c r="L87" s="464"/>
    </row>
    <row r="88" spans="1:12">
      <c r="A88" s="461"/>
      <c r="B88" s="463"/>
      <c r="C88" s="463"/>
      <c r="D88" s="463"/>
      <c r="E88" s="463"/>
      <c r="F88" s="463"/>
      <c r="G88" s="463"/>
      <c r="H88" s="463"/>
      <c r="I88" s="463"/>
      <c r="J88" s="463"/>
      <c r="K88" s="463"/>
      <c r="L88" s="464"/>
    </row>
    <row r="89" spans="1:12">
      <c r="A89" s="461"/>
      <c r="B89" s="463"/>
      <c r="C89" s="463"/>
      <c r="D89" s="463"/>
      <c r="E89" s="463"/>
      <c r="F89" s="463"/>
      <c r="G89" s="463"/>
      <c r="H89" s="463"/>
      <c r="I89" s="463"/>
      <c r="J89" s="463"/>
      <c r="K89" s="463"/>
      <c r="L89" s="464"/>
    </row>
    <row r="90" spans="1:12">
      <c r="A90" s="461"/>
      <c r="B90" s="463"/>
      <c r="C90" s="463"/>
      <c r="D90" s="463"/>
      <c r="E90" s="463"/>
      <c r="F90" s="463"/>
      <c r="G90" s="463"/>
      <c r="H90" s="463"/>
      <c r="I90" s="463"/>
      <c r="J90" s="463"/>
      <c r="K90" s="463"/>
      <c r="L90" s="464"/>
    </row>
    <row r="91" spans="1:12">
      <c r="A91" s="461"/>
      <c r="B91" s="463"/>
      <c r="C91" s="463"/>
      <c r="D91" s="463"/>
      <c r="E91" s="463"/>
      <c r="F91" s="463"/>
      <c r="G91" s="463"/>
      <c r="H91" s="463"/>
      <c r="I91" s="463"/>
      <c r="J91" s="463"/>
      <c r="K91" s="463"/>
      <c r="L91" s="464"/>
    </row>
    <row r="92" spans="1:12">
      <c r="A92" s="461"/>
      <c r="B92" s="463"/>
      <c r="C92" s="463"/>
      <c r="D92" s="463"/>
      <c r="E92" s="463"/>
      <c r="F92" s="463"/>
      <c r="G92" s="463"/>
      <c r="H92" s="463"/>
      <c r="I92" s="463"/>
      <c r="J92" s="463"/>
      <c r="K92" s="463"/>
      <c r="L92" s="464"/>
    </row>
    <row r="93" spans="1:12">
      <c r="A93" s="461"/>
      <c r="B93" s="463"/>
      <c r="C93" s="463"/>
      <c r="D93" s="463"/>
      <c r="E93" s="463"/>
      <c r="F93" s="463"/>
      <c r="G93" s="463"/>
      <c r="H93" s="463"/>
      <c r="I93" s="463"/>
      <c r="J93" s="463"/>
      <c r="K93" s="463"/>
      <c r="L93" s="464"/>
    </row>
    <row r="94" spans="1:12">
      <c r="A94" s="461"/>
      <c r="B94" s="463"/>
      <c r="C94" s="463"/>
      <c r="D94" s="463"/>
      <c r="E94" s="463"/>
      <c r="F94" s="463"/>
      <c r="G94" s="463"/>
      <c r="H94" s="463"/>
      <c r="I94" s="463"/>
      <c r="J94" s="463"/>
      <c r="K94" s="463"/>
      <c r="L94" s="464"/>
    </row>
    <row r="95" spans="1:12">
      <c r="A95" s="461"/>
      <c r="B95" s="463"/>
      <c r="C95" s="463"/>
      <c r="D95" s="463"/>
      <c r="E95" s="463"/>
      <c r="F95" s="463"/>
      <c r="G95" s="463"/>
      <c r="H95" s="463"/>
      <c r="I95" s="463"/>
      <c r="J95" s="463"/>
      <c r="K95" s="463"/>
      <c r="L95" s="464"/>
    </row>
    <row r="96" spans="1:12">
      <c r="A96" s="465"/>
      <c r="B96" s="466"/>
      <c r="C96" s="466"/>
      <c r="D96" s="466"/>
      <c r="E96" s="466"/>
      <c r="F96" s="466"/>
      <c r="G96" s="466"/>
      <c r="H96" s="466"/>
      <c r="I96" s="466"/>
      <c r="J96" s="466"/>
      <c r="K96" s="466"/>
      <c r="L96" s="467"/>
    </row>
    <row r="98" spans="1:12">
      <c r="B98" s="463"/>
      <c r="C98" s="463"/>
      <c r="D98" s="463"/>
      <c r="E98" s="463"/>
      <c r="F98" s="463"/>
      <c r="G98" s="463"/>
      <c r="H98" s="463"/>
      <c r="I98" s="463"/>
      <c r="J98" s="463"/>
    </row>
    <row r="99" spans="1:12" ht="15.75">
      <c r="B99" s="463"/>
      <c r="C99" s="468" t="s">
        <v>679</v>
      </c>
      <c r="D99" s="463"/>
      <c r="E99" s="424"/>
      <c r="F99" s="424"/>
      <c r="G99" s="463"/>
      <c r="H99" s="468" t="s">
        <v>678</v>
      </c>
      <c r="I99" s="424"/>
      <c r="J99" s="463"/>
    </row>
    <row r="100" spans="1:12" ht="30">
      <c r="B100" s="463"/>
      <c r="C100" s="463"/>
      <c r="D100" s="454" t="s">
        <v>672</v>
      </c>
      <c r="E100" s="454" t="s">
        <v>675</v>
      </c>
      <c r="F100" s="455" t="s">
        <v>677</v>
      </c>
      <c r="G100" s="463"/>
      <c r="H100" s="463"/>
      <c r="I100" s="455" t="s">
        <v>673</v>
      </c>
      <c r="J100" s="463"/>
    </row>
    <row r="101" spans="1:12" ht="36" customHeight="1">
      <c r="B101" s="463"/>
      <c r="C101" s="454">
        <v>20</v>
      </c>
      <c r="D101" s="457" t="s">
        <v>57</v>
      </c>
      <c r="E101" s="456" t="s">
        <v>683</v>
      </c>
      <c r="F101" s="469">
        <v>9.44</v>
      </c>
      <c r="G101" s="463"/>
      <c r="H101" s="455" t="s">
        <v>683</v>
      </c>
      <c r="I101" s="469">
        <v>1.01</v>
      </c>
      <c r="J101" s="463"/>
    </row>
    <row r="102" spans="1:12">
      <c r="B102" s="463"/>
      <c r="C102" s="463"/>
      <c r="D102" s="463"/>
      <c r="E102" s="463"/>
      <c r="F102" s="463"/>
      <c r="G102" s="463"/>
      <c r="H102" s="463"/>
      <c r="I102" s="463"/>
      <c r="J102" s="463"/>
    </row>
    <row r="103" spans="1:12">
      <c r="A103" s="458"/>
      <c r="B103" s="459"/>
      <c r="C103" s="459"/>
      <c r="D103" s="459"/>
      <c r="E103" s="459"/>
      <c r="F103" s="459"/>
      <c r="G103" s="459"/>
      <c r="H103" s="459"/>
      <c r="I103" s="459"/>
      <c r="J103" s="459"/>
      <c r="K103" s="459"/>
      <c r="L103" s="460"/>
    </row>
    <row r="104" spans="1:12">
      <c r="A104" s="461"/>
      <c r="B104" s="463"/>
      <c r="C104" s="463"/>
      <c r="D104" s="463"/>
      <c r="E104" s="463"/>
      <c r="F104" s="463"/>
      <c r="G104" s="463"/>
      <c r="H104" s="463"/>
      <c r="I104" s="463"/>
      <c r="J104" s="463"/>
      <c r="K104" s="463"/>
      <c r="L104" s="464"/>
    </row>
    <row r="105" spans="1:12">
      <c r="A105" s="461"/>
      <c r="B105" s="463"/>
      <c r="C105" s="463"/>
      <c r="D105" s="463"/>
      <c r="E105" s="463"/>
      <c r="F105" s="463"/>
      <c r="G105" s="463"/>
      <c r="H105" s="463"/>
      <c r="I105" s="463"/>
      <c r="J105" s="463"/>
      <c r="K105" s="463"/>
      <c r="L105" s="464"/>
    </row>
    <row r="106" spans="1:12">
      <c r="A106" s="461"/>
      <c r="B106" s="463"/>
      <c r="C106" s="463"/>
      <c r="D106" s="463"/>
      <c r="E106" s="463"/>
      <c r="F106" s="463"/>
      <c r="G106" s="463"/>
      <c r="H106" s="463"/>
      <c r="I106" s="463"/>
      <c r="J106" s="463"/>
      <c r="K106" s="463"/>
      <c r="L106" s="464"/>
    </row>
    <row r="107" spans="1:12">
      <c r="A107" s="461"/>
      <c r="B107" s="463"/>
      <c r="C107" s="463"/>
      <c r="D107" s="463"/>
      <c r="E107" s="463"/>
      <c r="F107" s="463"/>
      <c r="G107" s="463"/>
      <c r="H107" s="463"/>
      <c r="I107" s="463"/>
      <c r="J107" s="463"/>
      <c r="K107" s="463"/>
      <c r="L107" s="464"/>
    </row>
    <row r="108" spans="1:12">
      <c r="A108" s="461"/>
      <c r="B108" s="463"/>
      <c r="C108" s="463"/>
      <c r="D108" s="463"/>
      <c r="E108" s="463"/>
      <c r="F108" s="463"/>
      <c r="G108" s="463"/>
      <c r="H108" s="463"/>
      <c r="I108" s="463"/>
      <c r="J108" s="463"/>
      <c r="K108" s="463"/>
      <c r="L108" s="464"/>
    </row>
    <row r="109" spans="1:12">
      <c r="A109" s="461"/>
      <c r="B109" s="463"/>
      <c r="C109" s="463"/>
      <c r="D109" s="463"/>
      <c r="E109" s="463"/>
      <c r="F109" s="463"/>
      <c r="G109" s="463"/>
      <c r="H109" s="463"/>
      <c r="I109" s="463"/>
      <c r="J109" s="463"/>
      <c r="K109" s="463"/>
      <c r="L109" s="464"/>
    </row>
    <row r="110" spans="1:12">
      <c r="A110" s="461"/>
      <c r="B110" s="463"/>
      <c r="C110" s="463"/>
      <c r="D110" s="463"/>
      <c r="E110" s="463"/>
      <c r="F110" s="463"/>
      <c r="G110" s="463"/>
      <c r="H110" s="463"/>
      <c r="I110" s="463"/>
      <c r="J110" s="463"/>
      <c r="K110" s="463"/>
      <c r="L110" s="464"/>
    </row>
    <row r="111" spans="1:12">
      <c r="A111" s="461"/>
      <c r="B111" s="463"/>
      <c r="C111" s="463"/>
      <c r="D111" s="463"/>
      <c r="E111" s="463"/>
      <c r="F111" s="463"/>
      <c r="G111" s="463"/>
      <c r="H111" s="463"/>
      <c r="I111" s="463"/>
      <c r="J111" s="463"/>
      <c r="K111" s="463"/>
      <c r="L111" s="464"/>
    </row>
    <row r="112" spans="1:12">
      <c r="A112" s="461"/>
      <c r="B112" s="463"/>
      <c r="C112" s="463"/>
      <c r="D112" s="463"/>
      <c r="E112" s="463"/>
      <c r="F112" s="463"/>
      <c r="G112" s="463"/>
      <c r="H112" s="463"/>
      <c r="I112" s="463"/>
      <c r="J112" s="463"/>
      <c r="K112" s="463"/>
      <c r="L112" s="464"/>
    </row>
    <row r="113" spans="1:12">
      <c r="A113" s="461"/>
      <c r="B113" s="463"/>
      <c r="C113" s="463"/>
      <c r="D113" s="463"/>
      <c r="E113" s="463"/>
      <c r="F113" s="463"/>
      <c r="G113" s="463"/>
      <c r="H113" s="463"/>
      <c r="I113" s="463"/>
      <c r="J113" s="463"/>
      <c r="K113" s="463"/>
      <c r="L113" s="464"/>
    </row>
    <row r="114" spans="1:12">
      <c r="A114" s="461"/>
      <c r="B114" s="463"/>
      <c r="C114" s="463"/>
      <c r="D114" s="463"/>
      <c r="E114" s="463"/>
      <c r="F114" s="463"/>
      <c r="G114" s="463"/>
      <c r="H114" s="463"/>
      <c r="I114" s="463"/>
      <c r="J114" s="463"/>
      <c r="K114" s="463"/>
      <c r="L114" s="464"/>
    </row>
    <row r="115" spans="1:12">
      <c r="A115" s="461"/>
      <c r="B115" s="463"/>
      <c r="C115" s="463"/>
      <c r="D115" s="463"/>
      <c r="E115" s="463"/>
      <c r="F115" s="463"/>
      <c r="G115" s="463"/>
      <c r="H115" s="463"/>
      <c r="I115" s="463"/>
      <c r="J115" s="463"/>
      <c r="K115" s="463"/>
      <c r="L115" s="464"/>
    </row>
    <row r="116" spans="1:12">
      <c r="A116" s="461"/>
      <c r="B116" s="463"/>
      <c r="C116" s="463"/>
      <c r="D116" s="463"/>
      <c r="E116" s="463"/>
      <c r="F116" s="463"/>
      <c r="G116" s="463"/>
      <c r="H116" s="463"/>
      <c r="I116" s="463"/>
      <c r="J116" s="463"/>
      <c r="K116" s="463"/>
      <c r="L116" s="464"/>
    </row>
    <row r="117" spans="1:12">
      <c r="A117" s="461"/>
      <c r="B117" s="463"/>
      <c r="C117" s="463"/>
      <c r="D117" s="463"/>
      <c r="E117" s="463"/>
      <c r="F117" s="463"/>
      <c r="G117" s="463"/>
      <c r="H117" s="463"/>
      <c r="I117" s="463"/>
      <c r="J117" s="463"/>
      <c r="K117" s="463"/>
      <c r="L117" s="464"/>
    </row>
    <row r="118" spans="1:12">
      <c r="A118" s="461"/>
      <c r="B118" s="463"/>
      <c r="C118" s="463"/>
      <c r="D118" s="463"/>
      <c r="E118" s="463"/>
      <c r="F118" s="463"/>
      <c r="G118" s="463"/>
      <c r="H118" s="463"/>
      <c r="I118" s="463"/>
      <c r="J118" s="463"/>
      <c r="K118" s="463"/>
      <c r="L118" s="464"/>
    </row>
    <row r="119" spans="1:12">
      <c r="A119" s="461"/>
      <c r="B119" s="463"/>
      <c r="C119" s="463"/>
      <c r="D119" s="463"/>
      <c r="E119" s="463"/>
      <c r="F119" s="463"/>
      <c r="G119" s="463"/>
      <c r="H119" s="463"/>
      <c r="I119" s="463"/>
      <c r="J119" s="463"/>
      <c r="K119" s="463"/>
      <c r="L119" s="464"/>
    </row>
    <row r="120" spans="1:12">
      <c r="A120" s="461"/>
      <c r="B120" s="463"/>
      <c r="C120" s="463"/>
      <c r="D120" s="463"/>
      <c r="E120" s="463"/>
      <c r="F120" s="463"/>
      <c r="G120" s="463"/>
      <c r="H120" s="463"/>
      <c r="I120" s="463"/>
      <c r="J120" s="463"/>
      <c r="K120" s="463"/>
      <c r="L120" s="464"/>
    </row>
    <row r="121" spans="1:12">
      <c r="A121" s="461"/>
      <c r="B121" s="463"/>
      <c r="C121" s="463"/>
      <c r="D121" s="463"/>
      <c r="E121" s="463"/>
      <c r="F121" s="463"/>
      <c r="G121" s="463"/>
      <c r="H121" s="463"/>
      <c r="I121" s="463"/>
      <c r="J121" s="463"/>
      <c r="K121" s="463"/>
      <c r="L121" s="464"/>
    </row>
    <row r="122" spans="1:12">
      <c r="A122" s="461"/>
      <c r="B122" s="463"/>
      <c r="C122" s="463"/>
      <c r="D122" s="463"/>
      <c r="E122" s="463"/>
      <c r="F122" s="463"/>
      <c r="G122" s="463"/>
      <c r="H122" s="463"/>
      <c r="I122" s="463"/>
      <c r="J122" s="463"/>
      <c r="K122" s="463"/>
      <c r="L122" s="464"/>
    </row>
    <row r="123" spans="1:12">
      <c r="A123" s="461"/>
      <c r="B123" s="463"/>
      <c r="C123" s="463"/>
      <c r="D123" s="463"/>
      <c r="E123" s="463"/>
      <c r="F123" s="463"/>
      <c r="G123" s="463"/>
      <c r="H123" s="463"/>
      <c r="I123" s="463"/>
      <c r="J123" s="463"/>
      <c r="K123" s="463"/>
      <c r="L123" s="464"/>
    </row>
    <row r="124" spans="1:12">
      <c r="A124" s="461"/>
      <c r="B124" s="463"/>
      <c r="C124" s="463"/>
      <c r="D124" s="463"/>
      <c r="E124" s="463"/>
      <c r="F124" s="463"/>
      <c r="G124" s="463"/>
      <c r="H124" s="463"/>
      <c r="I124" s="463"/>
      <c r="J124" s="463"/>
      <c r="K124" s="463"/>
      <c r="L124" s="464"/>
    </row>
    <row r="125" spans="1:12">
      <c r="A125" s="461"/>
      <c r="B125" s="463"/>
      <c r="C125" s="463"/>
      <c r="D125" s="463"/>
      <c r="E125" s="463"/>
      <c r="F125" s="463"/>
      <c r="G125" s="463"/>
      <c r="H125" s="463"/>
      <c r="I125" s="463"/>
      <c r="J125" s="463"/>
      <c r="K125" s="463"/>
      <c r="L125" s="464"/>
    </row>
    <row r="126" spans="1:12">
      <c r="A126" s="461"/>
      <c r="B126" s="463"/>
      <c r="C126" s="463"/>
      <c r="D126" s="463"/>
      <c r="E126" s="463"/>
      <c r="F126" s="463"/>
      <c r="G126" s="463"/>
      <c r="H126" s="463"/>
      <c r="I126" s="463"/>
      <c r="J126" s="463"/>
      <c r="K126" s="463"/>
      <c r="L126" s="464"/>
    </row>
    <row r="127" spans="1:12">
      <c r="A127" s="461"/>
      <c r="B127" s="463"/>
      <c r="C127" s="463"/>
      <c r="D127" s="463"/>
      <c r="E127" s="463"/>
      <c r="F127" s="463"/>
      <c r="G127" s="463"/>
      <c r="H127" s="463"/>
      <c r="I127" s="463"/>
      <c r="J127" s="463"/>
      <c r="K127" s="463"/>
      <c r="L127" s="464"/>
    </row>
    <row r="128" spans="1:12">
      <c r="A128" s="461"/>
      <c r="B128" s="463"/>
      <c r="C128" s="463"/>
      <c r="D128" s="463"/>
      <c r="E128" s="463"/>
      <c r="F128" s="463"/>
      <c r="G128" s="463"/>
      <c r="H128" s="463"/>
      <c r="I128" s="463"/>
      <c r="J128" s="463"/>
      <c r="K128" s="463"/>
      <c r="L128" s="464"/>
    </row>
    <row r="129" spans="1:12">
      <c r="A129" s="461"/>
      <c r="B129" s="463"/>
      <c r="C129" s="463"/>
      <c r="D129" s="463"/>
      <c r="E129" s="463"/>
      <c r="F129" s="463"/>
      <c r="G129" s="463"/>
      <c r="H129" s="463"/>
      <c r="I129" s="463"/>
      <c r="J129" s="463"/>
      <c r="K129" s="463"/>
      <c r="L129" s="464"/>
    </row>
    <row r="130" spans="1:12">
      <c r="A130" s="461"/>
      <c r="B130" s="463"/>
      <c r="C130" s="463"/>
      <c r="D130" s="463"/>
      <c r="E130" s="463"/>
      <c r="F130" s="463"/>
      <c r="G130" s="463"/>
      <c r="H130" s="463"/>
      <c r="I130" s="463"/>
      <c r="J130" s="463"/>
      <c r="K130" s="463"/>
      <c r="L130" s="464"/>
    </row>
    <row r="131" spans="1:12">
      <c r="A131" s="461"/>
      <c r="B131" s="463"/>
      <c r="C131" s="463"/>
      <c r="D131" s="463"/>
      <c r="E131" s="463"/>
      <c r="F131" s="463"/>
      <c r="G131" s="463"/>
      <c r="H131" s="463"/>
      <c r="I131" s="463"/>
      <c r="J131" s="463"/>
      <c r="K131" s="463"/>
      <c r="L131" s="464"/>
    </row>
    <row r="132" spans="1:12">
      <c r="A132" s="461"/>
      <c r="B132" s="463"/>
      <c r="C132" s="463"/>
      <c r="D132" s="463"/>
      <c r="E132" s="463"/>
      <c r="F132" s="463"/>
      <c r="G132" s="463"/>
      <c r="H132" s="463"/>
      <c r="I132" s="463"/>
      <c r="J132" s="463"/>
      <c r="K132" s="463"/>
      <c r="L132" s="464"/>
    </row>
    <row r="133" spans="1:12">
      <c r="A133" s="461"/>
      <c r="B133" s="463"/>
      <c r="C133" s="463"/>
      <c r="D133" s="463"/>
      <c r="E133" s="463"/>
      <c r="F133" s="463"/>
      <c r="G133" s="463"/>
      <c r="H133" s="463"/>
      <c r="I133" s="463"/>
      <c r="J133" s="463"/>
      <c r="K133" s="463"/>
      <c r="L133" s="464"/>
    </row>
    <row r="134" spans="1:12">
      <c r="A134" s="461"/>
      <c r="B134" s="463"/>
      <c r="C134" s="463"/>
      <c r="D134" s="463"/>
      <c r="E134" s="463"/>
      <c r="F134" s="463"/>
      <c r="G134" s="463"/>
      <c r="H134" s="463"/>
      <c r="I134" s="463"/>
      <c r="J134" s="463"/>
      <c r="K134" s="463"/>
      <c r="L134" s="464"/>
    </row>
    <row r="135" spans="1:12">
      <c r="A135" s="461"/>
      <c r="B135" s="463"/>
      <c r="C135" s="463"/>
      <c r="D135" s="463"/>
      <c r="E135" s="463"/>
      <c r="F135" s="463"/>
      <c r="G135" s="463"/>
      <c r="H135" s="463"/>
      <c r="I135" s="463"/>
      <c r="J135" s="463"/>
      <c r="K135" s="463"/>
      <c r="L135" s="464"/>
    </row>
    <row r="136" spans="1:12">
      <c r="A136" s="461"/>
      <c r="B136" s="463"/>
      <c r="C136" s="463"/>
      <c r="D136" s="463"/>
      <c r="E136" s="463"/>
      <c r="F136" s="463"/>
      <c r="G136" s="463"/>
      <c r="H136" s="463"/>
      <c r="I136" s="463"/>
      <c r="J136" s="463"/>
      <c r="K136" s="463"/>
      <c r="L136" s="464"/>
    </row>
    <row r="137" spans="1:12">
      <c r="A137" s="461"/>
      <c r="B137" s="463"/>
      <c r="C137" s="463"/>
      <c r="D137" s="463"/>
      <c r="E137" s="463"/>
      <c r="F137" s="463"/>
      <c r="G137" s="463"/>
      <c r="H137" s="463"/>
      <c r="I137" s="463"/>
      <c r="J137" s="463"/>
      <c r="K137" s="463"/>
      <c r="L137" s="464"/>
    </row>
    <row r="138" spans="1:12">
      <c r="A138" s="461"/>
      <c r="B138" s="463"/>
      <c r="C138" s="463"/>
      <c r="D138" s="463"/>
      <c r="E138" s="463"/>
      <c r="F138" s="463"/>
      <c r="G138" s="463"/>
      <c r="H138" s="463"/>
      <c r="I138" s="463"/>
      <c r="J138" s="463"/>
      <c r="K138" s="463"/>
      <c r="L138" s="464"/>
    </row>
    <row r="139" spans="1:12">
      <c r="A139" s="461"/>
      <c r="B139" s="463"/>
      <c r="C139" s="463"/>
      <c r="D139" s="463"/>
      <c r="E139" s="463"/>
      <c r="F139" s="463"/>
      <c r="G139" s="463"/>
      <c r="H139" s="463"/>
      <c r="I139" s="463"/>
      <c r="J139" s="463"/>
      <c r="K139" s="463"/>
      <c r="L139" s="464"/>
    </row>
    <row r="140" spans="1:12">
      <c r="A140" s="461"/>
      <c r="B140" s="463"/>
      <c r="C140" s="463"/>
      <c r="D140" s="463"/>
      <c r="E140" s="463"/>
      <c r="F140" s="463"/>
      <c r="G140" s="463"/>
      <c r="H140" s="463"/>
      <c r="I140" s="463"/>
      <c r="J140" s="463"/>
      <c r="K140" s="463"/>
      <c r="L140" s="464"/>
    </row>
    <row r="141" spans="1:12">
      <c r="A141" s="461"/>
      <c r="B141" s="463"/>
      <c r="C141" s="463"/>
      <c r="D141" s="463"/>
      <c r="E141" s="463"/>
      <c r="F141" s="463"/>
      <c r="G141" s="463"/>
      <c r="H141" s="463"/>
      <c r="I141" s="463"/>
      <c r="J141" s="463"/>
      <c r="K141" s="463"/>
      <c r="L141" s="464"/>
    </row>
    <row r="142" spans="1:12">
      <c r="A142" s="465"/>
      <c r="B142" s="466"/>
      <c r="C142" s="466"/>
      <c r="D142" s="466"/>
      <c r="E142" s="466"/>
      <c r="F142" s="466"/>
      <c r="G142" s="466"/>
      <c r="H142" s="466"/>
      <c r="I142" s="466"/>
      <c r="J142" s="466"/>
      <c r="K142" s="466"/>
      <c r="L142" s="467"/>
    </row>
    <row r="144" spans="1:12">
      <c r="B144" s="463"/>
      <c r="C144" s="463"/>
      <c r="D144" s="463"/>
      <c r="E144" s="463"/>
      <c r="F144" s="463"/>
      <c r="G144" s="463"/>
      <c r="H144" s="463"/>
      <c r="I144" s="463"/>
      <c r="J144" s="463"/>
    </row>
    <row r="145" spans="1:12" ht="15.75">
      <c r="B145" s="463"/>
      <c r="C145" s="468" t="s">
        <v>680</v>
      </c>
      <c r="D145" s="463"/>
      <c r="E145" s="424"/>
      <c r="F145" s="424"/>
      <c r="G145" s="463"/>
      <c r="H145" s="468" t="s">
        <v>678</v>
      </c>
      <c r="I145" s="424"/>
      <c r="J145" s="463"/>
    </row>
    <row r="146" spans="1:12" ht="30">
      <c r="B146" s="463"/>
      <c r="C146" s="463"/>
      <c r="D146" s="454" t="s">
        <v>672</v>
      </c>
      <c r="E146" s="454" t="s">
        <v>675</v>
      </c>
      <c r="F146" s="455" t="s">
        <v>677</v>
      </c>
      <c r="G146" s="463"/>
      <c r="H146" s="463"/>
      <c r="I146" s="455" t="s">
        <v>673</v>
      </c>
      <c r="J146" s="463"/>
    </row>
    <row r="147" spans="1:12" ht="31.5" customHeight="1">
      <c r="B147" s="463"/>
      <c r="C147" s="454">
        <v>20</v>
      </c>
      <c r="D147" s="457" t="s">
        <v>57</v>
      </c>
      <c r="E147" s="456" t="s">
        <v>681</v>
      </c>
      <c r="F147" s="469">
        <v>9.19</v>
      </c>
      <c r="G147" s="463"/>
      <c r="H147" s="455" t="s">
        <v>681</v>
      </c>
      <c r="I147" s="469">
        <v>1.2</v>
      </c>
      <c r="J147" s="463"/>
    </row>
    <row r="148" spans="1:12" ht="31.5" customHeight="1">
      <c r="B148" s="463"/>
      <c r="C148" s="454">
        <v>49</v>
      </c>
      <c r="D148" s="457" t="s">
        <v>58</v>
      </c>
      <c r="E148" s="456" t="s">
        <v>682</v>
      </c>
      <c r="F148" s="469">
        <v>9.8800000000000008</v>
      </c>
      <c r="G148" s="463"/>
      <c r="H148" s="455" t="s">
        <v>682</v>
      </c>
      <c r="I148" s="469">
        <v>1.01</v>
      </c>
      <c r="J148" s="463"/>
    </row>
    <row r="149" spans="1:12" ht="31.5" customHeight="1">
      <c r="B149" s="463"/>
      <c r="C149" s="454">
        <v>63</v>
      </c>
      <c r="D149" s="457" t="s">
        <v>56</v>
      </c>
      <c r="E149" s="456" t="s">
        <v>681</v>
      </c>
      <c r="F149" s="469">
        <v>9.69</v>
      </c>
      <c r="G149" s="463"/>
      <c r="H149" s="463"/>
      <c r="I149" s="463"/>
      <c r="J149" s="463"/>
    </row>
    <row r="150" spans="1:12" ht="50.25" customHeight="1">
      <c r="B150" s="463"/>
      <c r="C150" s="454">
        <v>63</v>
      </c>
      <c r="D150" s="457" t="s">
        <v>56</v>
      </c>
      <c r="E150" s="456" t="s">
        <v>684</v>
      </c>
      <c r="F150" s="469">
        <v>7.54</v>
      </c>
      <c r="G150" s="463"/>
      <c r="H150" s="463"/>
      <c r="I150" s="463"/>
      <c r="J150" s="463"/>
    </row>
    <row r="151" spans="1:12">
      <c r="B151" s="463"/>
      <c r="C151" s="463"/>
      <c r="D151" s="463"/>
      <c r="E151" s="463"/>
      <c r="F151" s="463"/>
      <c r="G151" s="463"/>
      <c r="H151" s="463"/>
      <c r="I151" s="463"/>
      <c r="J151" s="463"/>
    </row>
    <row r="152" spans="1:12">
      <c r="A152" s="458"/>
      <c r="B152" s="459"/>
      <c r="C152" s="459"/>
      <c r="D152" s="459"/>
      <c r="E152" s="459"/>
      <c r="F152" s="459"/>
      <c r="G152" s="459"/>
      <c r="H152" s="459"/>
      <c r="I152" s="459"/>
      <c r="J152" s="459"/>
      <c r="K152" s="459"/>
      <c r="L152" s="460"/>
    </row>
    <row r="153" spans="1:12">
      <c r="A153" s="461"/>
      <c r="B153" s="463"/>
      <c r="C153" s="463"/>
      <c r="D153" s="463"/>
      <c r="E153" s="463"/>
      <c r="F153" s="463"/>
      <c r="G153" s="463"/>
      <c r="H153" s="463"/>
      <c r="I153" s="463"/>
      <c r="J153" s="463"/>
      <c r="K153" s="463"/>
      <c r="L153" s="464"/>
    </row>
    <row r="154" spans="1:12">
      <c r="A154" s="461"/>
      <c r="B154" s="463"/>
      <c r="C154" s="463"/>
      <c r="D154" s="463"/>
      <c r="E154" s="463"/>
      <c r="F154" s="463"/>
      <c r="G154" s="463"/>
      <c r="H154" s="463"/>
      <c r="I154" s="463"/>
      <c r="J154" s="463"/>
      <c r="K154" s="463"/>
      <c r="L154" s="464"/>
    </row>
    <row r="155" spans="1:12">
      <c r="A155" s="461"/>
      <c r="B155" s="463"/>
      <c r="C155" s="463"/>
      <c r="D155" s="463"/>
      <c r="E155" s="463"/>
      <c r="F155" s="463"/>
      <c r="G155" s="463"/>
      <c r="H155" s="463"/>
      <c r="I155" s="463"/>
      <c r="J155" s="463"/>
      <c r="K155" s="463"/>
      <c r="L155" s="464"/>
    </row>
    <row r="156" spans="1:12">
      <c r="A156" s="461"/>
      <c r="B156" s="463"/>
      <c r="C156" s="463"/>
      <c r="D156" s="463"/>
      <c r="E156" s="463"/>
      <c r="F156" s="463"/>
      <c r="G156" s="463"/>
      <c r="H156" s="463"/>
      <c r="I156" s="463"/>
      <c r="J156" s="463"/>
      <c r="K156" s="463"/>
      <c r="L156" s="464"/>
    </row>
    <row r="157" spans="1:12">
      <c r="A157" s="461"/>
      <c r="B157" s="463"/>
      <c r="C157" s="463"/>
      <c r="D157" s="463"/>
      <c r="E157" s="463"/>
      <c r="F157" s="463"/>
      <c r="G157" s="463"/>
      <c r="H157" s="463"/>
      <c r="I157" s="463"/>
      <c r="J157" s="463"/>
      <c r="K157" s="463"/>
      <c r="L157" s="464"/>
    </row>
    <row r="158" spans="1:12">
      <c r="A158" s="461"/>
      <c r="B158" s="463"/>
      <c r="C158" s="463"/>
      <c r="D158" s="463"/>
      <c r="E158" s="463"/>
      <c r="F158" s="463"/>
      <c r="G158" s="463"/>
      <c r="H158" s="463"/>
      <c r="I158" s="463"/>
      <c r="J158" s="463"/>
      <c r="K158" s="463"/>
      <c r="L158" s="464"/>
    </row>
    <row r="159" spans="1:12">
      <c r="A159" s="461"/>
      <c r="B159" s="463"/>
      <c r="C159" s="463"/>
      <c r="D159" s="463"/>
      <c r="E159" s="463"/>
      <c r="F159" s="463"/>
      <c r="G159" s="463"/>
      <c r="H159" s="463"/>
      <c r="I159" s="463"/>
      <c r="J159" s="463"/>
      <c r="K159" s="463"/>
      <c r="L159" s="464"/>
    </row>
    <row r="160" spans="1:12">
      <c r="A160" s="461"/>
      <c r="B160" s="463"/>
      <c r="C160" s="463"/>
      <c r="D160" s="463"/>
      <c r="E160" s="463"/>
      <c r="F160" s="463"/>
      <c r="G160" s="463"/>
      <c r="H160" s="463"/>
      <c r="I160" s="463"/>
      <c r="J160" s="463"/>
      <c r="K160" s="463"/>
      <c r="L160" s="464"/>
    </row>
    <row r="161" spans="1:12">
      <c r="A161" s="461"/>
      <c r="B161" s="463"/>
      <c r="C161" s="463"/>
      <c r="D161" s="463"/>
      <c r="E161" s="463"/>
      <c r="F161" s="463"/>
      <c r="G161" s="463"/>
      <c r="H161" s="463"/>
      <c r="I161" s="463"/>
      <c r="J161" s="463"/>
      <c r="K161" s="463"/>
      <c r="L161" s="464"/>
    </row>
    <row r="162" spans="1:12">
      <c r="A162" s="461"/>
      <c r="B162" s="463"/>
      <c r="C162" s="463"/>
      <c r="D162" s="463"/>
      <c r="E162" s="463"/>
      <c r="F162" s="463"/>
      <c r="G162" s="463"/>
      <c r="H162" s="463"/>
      <c r="I162" s="463"/>
      <c r="J162" s="463"/>
      <c r="K162" s="463"/>
      <c r="L162" s="464"/>
    </row>
    <row r="163" spans="1:12">
      <c r="A163" s="461"/>
      <c r="B163" s="463"/>
      <c r="C163" s="463"/>
      <c r="D163" s="463"/>
      <c r="E163" s="463"/>
      <c r="F163" s="463"/>
      <c r="G163" s="463"/>
      <c r="H163" s="463"/>
      <c r="I163" s="463"/>
      <c r="J163" s="463"/>
      <c r="K163" s="463"/>
      <c r="L163" s="464"/>
    </row>
    <row r="164" spans="1:12">
      <c r="A164" s="461"/>
      <c r="B164" s="463"/>
      <c r="C164" s="463"/>
      <c r="D164" s="463"/>
      <c r="E164" s="463"/>
      <c r="F164" s="463"/>
      <c r="G164" s="463"/>
      <c r="H164" s="463"/>
      <c r="I164" s="463"/>
      <c r="J164" s="463"/>
      <c r="K164" s="463"/>
      <c r="L164" s="464"/>
    </row>
    <row r="165" spans="1:12">
      <c r="A165" s="461"/>
      <c r="B165" s="463"/>
      <c r="C165" s="463"/>
      <c r="D165" s="463"/>
      <c r="E165" s="463"/>
      <c r="F165" s="463"/>
      <c r="G165" s="463"/>
      <c r="H165" s="463"/>
      <c r="I165" s="463"/>
      <c r="J165" s="463"/>
      <c r="K165" s="463"/>
      <c r="L165" s="464"/>
    </row>
    <row r="166" spans="1:12">
      <c r="A166" s="461"/>
      <c r="B166" s="463"/>
      <c r="C166" s="463"/>
      <c r="D166" s="463"/>
      <c r="E166" s="463"/>
      <c r="F166" s="463"/>
      <c r="G166" s="463"/>
      <c r="H166" s="463"/>
      <c r="I166" s="463"/>
      <c r="J166" s="463"/>
      <c r="K166" s="463"/>
      <c r="L166" s="464"/>
    </row>
    <row r="167" spans="1:12">
      <c r="A167" s="461"/>
      <c r="B167" s="463"/>
      <c r="C167" s="463"/>
      <c r="D167" s="463"/>
      <c r="E167" s="463"/>
      <c r="F167" s="463"/>
      <c r="G167" s="463"/>
      <c r="H167" s="463"/>
      <c r="I167" s="463"/>
      <c r="J167" s="463"/>
      <c r="K167" s="463"/>
      <c r="L167" s="464"/>
    </row>
    <row r="168" spans="1:12">
      <c r="A168" s="461"/>
      <c r="B168" s="463"/>
      <c r="C168" s="463"/>
      <c r="D168" s="463"/>
      <c r="E168" s="463"/>
      <c r="F168" s="463"/>
      <c r="G168" s="463"/>
      <c r="H168" s="463"/>
      <c r="I168" s="463"/>
      <c r="J168" s="463"/>
      <c r="K168" s="463"/>
      <c r="L168" s="464"/>
    </row>
    <row r="169" spans="1:12">
      <c r="A169" s="461"/>
      <c r="B169" s="463"/>
      <c r="C169" s="463"/>
      <c r="D169" s="463"/>
      <c r="E169" s="463"/>
      <c r="F169" s="463"/>
      <c r="G169" s="463"/>
      <c r="H169" s="463"/>
      <c r="I169" s="463"/>
      <c r="J169" s="463"/>
      <c r="K169" s="463"/>
      <c r="L169" s="464"/>
    </row>
    <row r="170" spans="1:12">
      <c r="A170" s="461"/>
      <c r="B170" s="463"/>
      <c r="C170" s="463"/>
      <c r="D170" s="463"/>
      <c r="E170" s="463"/>
      <c r="F170" s="463"/>
      <c r="G170" s="463"/>
      <c r="H170" s="463"/>
      <c r="I170" s="463"/>
      <c r="J170" s="463"/>
      <c r="K170" s="463"/>
      <c r="L170" s="464"/>
    </row>
    <row r="171" spans="1:12">
      <c r="A171" s="461"/>
      <c r="B171" s="463"/>
      <c r="C171" s="463"/>
      <c r="D171" s="463"/>
      <c r="E171" s="463"/>
      <c r="F171" s="463"/>
      <c r="G171" s="463"/>
      <c r="H171" s="463"/>
      <c r="I171" s="463"/>
      <c r="J171" s="463"/>
      <c r="K171" s="463"/>
      <c r="L171" s="464"/>
    </row>
    <row r="172" spans="1:12">
      <c r="A172" s="461"/>
      <c r="B172" s="463"/>
      <c r="C172" s="463"/>
      <c r="D172" s="463"/>
      <c r="E172" s="463"/>
      <c r="F172" s="463"/>
      <c r="G172" s="463"/>
      <c r="H172" s="463"/>
      <c r="I172" s="463"/>
      <c r="J172" s="463"/>
      <c r="K172" s="463"/>
      <c r="L172" s="464"/>
    </row>
    <row r="173" spans="1:12">
      <c r="A173" s="461"/>
      <c r="B173" s="463"/>
      <c r="C173" s="463"/>
      <c r="D173" s="463"/>
      <c r="E173" s="463"/>
      <c r="F173" s="463"/>
      <c r="G173" s="463"/>
      <c r="H173" s="463"/>
      <c r="I173" s="463"/>
      <c r="J173" s="463"/>
      <c r="K173" s="463"/>
      <c r="L173" s="464"/>
    </row>
    <row r="174" spans="1:12">
      <c r="A174" s="461"/>
      <c r="B174" s="463"/>
      <c r="C174" s="463"/>
      <c r="D174" s="463"/>
      <c r="E174" s="463"/>
      <c r="F174" s="463"/>
      <c r="G174" s="463"/>
      <c r="H174" s="463"/>
      <c r="I174" s="463"/>
      <c r="J174" s="463"/>
      <c r="K174" s="463"/>
      <c r="L174" s="464"/>
    </row>
    <row r="175" spans="1:12">
      <c r="A175" s="461"/>
      <c r="B175" s="463"/>
      <c r="C175" s="463"/>
      <c r="D175" s="463"/>
      <c r="E175" s="463"/>
      <c r="F175" s="463"/>
      <c r="G175" s="463"/>
      <c r="H175" s="463"/>
      <c r="I175" s="463"/>
      <c r="J175" s="463"/>
      <c r="K175" s="463"/>
      <c r="L175" s="464"/>
    </row>
    <row r="176" spans="1:12">
      <c r="A176" s="461"/>
      <c r="B176" s="463"/>
      <c r="C176" s="463"/>
      <c r="D176" s="463"/>
      <c r="E176" s="463"/>
      <c r="F176" s="463"/>
      <c r="G176" s="463"/>
      <c r="H176" s="463"/>
      <c r="I176" s="463"/>
      <c r="J176" s="463"/>
      <c r="K176" s="463"/>
      <c r="L176" s="464"/>
    </row>
    <row r="177" spans="1:12">
      <c r="A177" s="461"/>
      <c r="B177" s="463"/>
      <c r="C177" s="463"/>
      <c r="D177" s="463"/>
      <c r="E177" s="463"/>
      <c r="F177" s="463"/>
      <c r="G177" s="463"/>
      <c r="H177" s="463"/>
      <c r="I177" s="463"/>
      <c r="J177" s="463"/>
      <c r="K177" s="463"/>
      <c r="L177" s="464"/>
    </row>
    <row r="178" spans="1:12">
      <c r="A178" s="461"/>
      <c r="B178" s="463"/>
      <c r="C178" s="463"/>
      <c r="D178" s="463"/>
      <c r="E178" s="463"/>
      <c r="F178" s="463"/>
      <c r="G178" s="463"/>
      <c r="H178" s="463"/>
      <c r="I178" s="463"/>
      <c r="J178" s="463"/>
      <c r="K178" s="463"/>
      <c r="L178" s="464"/>
    </row>
    <row r="179" spans="1:12">
      <c r="A179" s="461"/>
      <c r="B179" s="463"/>
      <c r="C179" s="463"/>
      <c r="D179" s="463"/>
      <c r="E179" s="463"/>
      <c r="F179" s="463"/>
      <c r="G179" s="463"/>
      <c r="H179" s="463"/>
      <c r="I179" s="463"/>
      <c r="J179" s="463"/>
      <c r="K179" s="463"/>
      <c r="L179" s="464"/>
    </row>
    <row r="180" spans="1:12">
      <c r="A180" s="461"/>
      <c r="B180" s="463"/>
      <c r="C180" s="463"/>
      <c r="D180" s="463"/>
      <c r="E180" s="463"/>
      <c r="F180" s="463"/>
      <c r="G180" s="463"/>
      <c r="H180" s="463"/>
      <c r="I180" s="463"/>
      <c r="J180" s="463"/>
      <c r="K180" s="463"/>
      <c r="L180" s="464"/>
    </row>
    <row r="181" spans="1:12">
      <c r="A181" s="461"/>
      <c r="B181" s="463"/>
      <c r="C181" s="463"/>
      <c r="D181" s="463"/>
      <c r="E181" s="463"/>
      <c r="F181" s="463"/>
      <c r="G181" s="463"/>
      <c r="H181" s="463"/>
      <c r="I181" s="463"/>
      <c r="J181" s="463"/>
      <c r="K181" s="463"/>
      <c r="L181" s="464"/>
    </row>
    <row r="182" spans="1:12">
      <c r="A182" s="461"/>
      <c r="B182" s="463"/>
      <c r="C182" s="463"/>
      <c r="D182" s="463"/>
      <c r="E182" s="463"/>
      <c r="F182" s="463"/>
      <c r="G182" s="463"/>
      <c r="H182" s="463"/>
      <c r="I182" s="463"/>
      <c r="J182" s="463"/>
      <c r="K182" s="463"/>
      <c r="L182" s="464"/>
    </row>
    <row r="183" spans="1:12">
      <c r="A183" s="461"/>
      <c r="B183" s="463"/>
      <c r="C183" s="463"/>
      <c r="D183" s="463"/>
      <c r="E183" s="463"/>
      <c r="F183" s="463"/>
      <c r="G183" s="463"/>
      <c r="H183" s="463"/>
      <c r="I183" s="463"/>
      <c r="J183" s="463"/>
      <c r="K183" s="463"/>
      <c r="L183" s="464"/>
    </row>
    <row r="184" spans="1:12">
      <c r="A184" s="461"/>
      <c r="B184" s="463"/>
      <c r="C184" s="463"/>
      <c r="D184" s="463"/>
      <c r="E184" s="463"/>
      <c r="F184" s="463"/>
      <c r="G184" s="463"/>
      <c r="H184" s="463"/>
      <c r="I184" s="463"/>
      <c r="J184" s="463"/>
      <c r="K184" s="463"/>
      <c r="L184" s="464"/>
    </row>
    <row r="185" spans="1:12">
      <c r="A185" s="461"/>
      <c r="B185" s="463"/>
      <c r="C185" s="463"/>
      <c r="D185" s="463"/>
      <c r="E185" s="463"/>
      <c r="F185" s="463"/>
      <c r="G185" s="463"/>
      <c r="H185" s="463"/>
      <c r="I185" s="463"/>
      <c r="J185" s="463"/>
      <c r="K185" s="463"/>
      <c r="L185" s="464"/>
    </row>
    <row r="186" spans="1:12">
      <c r="A186" s="461"/>
      <c r="B186" s="463"/>
      <c r="C186" s="463"/>
      <c r="D186" s="463"/>
      <c r="E186" s="463"/>
      <c r="F186" s="463"/>
      <c r="G186" s="463"/>
      <c r="H186" s="463"/>
      <c r="I186" s="463"/>
      <c r="J186" s="463"/>
      <c r="K186" s="463"/>
      <c r="L186" s="464"/>
    </row>
    <row r="187" spans="1:12">
      <c r="A187" s="461"/>
      <c r="B187" s="463"/>
      <c r="C187" s="463"/>
      <c r="D187" s="463"/>
      <c r="E187" s="463"/>
      <c r="F187" s="463"/>
      <c r="G187" s="463"/>
      <c r="H187" s="463"/>
      <c r="I187" s="463"/>
      <c r="J187" s="463"/>
      <c r="K187" s="463"/>
      <c r="L187" s="464"/>
    </row>
    <row r="188" spans="1:12">
      <c r="A188" s="461"/>
      <c r="B188" s="463"/>
      <c r="C188" s="463"/>
      <c r="D188" s="463"/>
      <c r="E188" s="463"/>
      <c r="F188" s="463"/>
      <c r="G188" s="463"/>
      <c r="H188" s="463"/>
      <c r="I188" s="463"/>
      <c r="J188" s="463"/>
      <c r="K188" s="463"/>
      <c r="L188" s="464"/>
    </row>
    <row r="189" spans="1:12">
      <c r="A189" s="461"/>
      <c r="B189" s="463"/>
      <c r="C189" s="463"/>
      <c r="D189" s="463"/>
      <c r="E189" s="463"/>
      <c r="F189" s="463"/>
      <c r="G189" s="463"/>
      <c r="H189" s="463"/>
      <c r="I189" s="463"/>
      <c r="J189" s="463"/>
      <c r="K189" s="463"/>
      <c r="L189" s="464"/>
    </row>
    <row r="190" spans="1:12">
      <c r="A190" s="461"/>
      <c r="B190" s="463"/>
      <c r="C190" s="463"/>
      <c r="D190" s="463"/>
      <c r="E190" s="463"/>
      <c r="F190" s="463"/>
      <c r="G190" s="463"/>
      <c r="H190" s="463"/>
      <c r="I190" s="463"/>
      <c r="J190" s="463"/>
      <c r="K190" s="463"/>
      <c r="L190" s="464"/>
    </row>
    <row r="191" spans="1:12">
      <c r="A191" s="461"/>
      <c r="B191" s="463"/>
      <c r="C191" s="463"/>
      <c r="D191" s="463"/>
      <c r="E191" s="463"/>
      <c r="F191" s="463"/>
      <c r="G191" s="463"/>
      <c r="H191" s="463"/>
      <c r="I191" s="463"/>
      <c r="J191" s="463"/>
      <c r="K191" s="463"/>
      <c r="L191" s="464"/>
    </row>
    <row r="192" spans="1:12">
      <c r="A192" s="465"/>
      <c r="B192" s="466"/>
      <c r="C192" s="466"/>
      <c r="D192" s="466"/>
      <c r="E192" s="466"/>
      <c r="F192" s="466"/>
      <c r="G192" s="466"/>
      <c r="H192" s="466"/>
      <c r="I192" s="466"/>
      <c r="J192" s="466"/>
      <c r="K192" s="466"/>
      <c r="L192" s="467"/>
    </row>
    <row r="193" spans="1:12">
      <c r="B193" s="463"/>
      <c r="C193" s="463"/>
      <c r="D193" s="463"/>
      <c r="E193" s="463"/>
      <c r="F193" s="463"/>
      <c r="G193" s="463"/>
      <c r="H193" s="463"/>
      <c r="I193" s="463"/>
      <c r="J193" s="463"/>
    </row>
    <row r="194" spans="1:12" ht="15.75">
      <c r="B194" s="185"/>
      <c r="C194" s="185"/>
      <c r="D194" s="184" t="s">
        <v>653</v>
      </c>
      <c r="E194" s="185"/>
      <c r="F194" s="185"/>
      <c r="G194" s="185"/>
      <c r="H194" s="185"/>
      <c r="I194" s="185"/>
    </row>
    <row r="195" spans="1:12">
      <c r="B195" s="185"/>
      <c r="C195" s="185"/>
      <c r="D195" s="185" t="s">
        <v>695</v>
      </c>
      <c r="E195" s="185"/>
      <c r="F195" s="185"/>
      <c r="G195" s="185"/>
      <c r="H195" s="185"/>
      <c r="I195" s="185"/>
    </row>
    <row r="196" spans="1:12">
      <c r="B196" s="185"/>
      <c r="C196" s="185"/>
      <c r="D196" s="549" t="s">
        <v>363</v>
      </c>
      <c r="E196" s="185"/>
      <c r="F196" s="497"/>
      <c r="G196" s="497"/>
      <c r="H196" s="497"/>
      <c r="I196" s="185"/>
    </row>
    <row r="198" spans="1:12">
      <c r="D198" s="176" t="s">
        <v>685</v>
      </c>
      <c r="E198" s="471"/>
      <c r="F198" s="471"/>
      <c r="G198" s="472"/>
      <c r="H198" s="474">
        <v>41214</v>
      </c>
      <c r="I198" s="473"/>
    </row>
    <row r="200" spans="1:12">
      <c r="A200" s="458"/>
      <c r="B200" s="459"/>
      <c r="C200" s="459"/>
      <c r="D200" s="459"/>
      <c r="E200" s="459"/>
      <c r="F200" s="459"/>
      <c r="G200" s="459"/>
      <c r="H200" s="459"/>
      <c r="I200" s="459"/>
      <c r="J200" s="459"/>
      <c r="K200" s="459"/>
      <c r="L200" s="460"/>
    </row>
    <row r="201" spans="1:12">
      <c r="A201" s="461"/>
      <c r="B201" s="463"/>
      <c r="C201" s="463"/>
      <c r="D201" s="463"/>
      <c r="E201" s="463"/>
      <c r="F201" s="463"/>
      <c r="G201" s="463"/>
      <c r="H201" s="463"/>
      <c r="I201" s="463"/>
      <c r="J201" s="463"/>
      <c r="K201" s="463"/>
      <c r="L201" s="464"/>
    </row>
    <row r="202" spans="1:12">
      <c r="A202" s="461"/>
      <c r="B202" s="463"/>
      <c r="C202" s="463"/>
      <c r="D202" s="463"/>
      <c r="E202" s="463"/>
      <c r="F202" s="463"/>
      <c r="G202" s="463"/>
      <c r="H202" s="463"/>
      <c r="I202" s="463"/>
      <c r="J202" s="463"/>
      <c r="K202" s="463"/>
      <c r="L202" s="464"/>
    </row>
    <row r="203" spans="1:12">
      <c r="A203" s="461"/>
      <c r="B203" s="463"/>
      <c r="C203" s="463"/>
      <c r="D203" s="463"/>
      <c r="E203" s="463"/>
      <c r="F203" s="463"/>
      <c r="G203" s="463"/>
      <c r="H203" s="463"/>
      <c r="I203" s="463"/>
      <c r="J203" s="463"/>
      <c r="K203" s="463"/>
      <c r="L203" s="464"/>
    </row>
    <row r="204" spans="1:12">
      <c r="A204" s="461"/>
      <c r="B204" s="463"/>
      <c r="C204" s="463"/>
      <c r="D204" s="463"/>
      <c r="E204" s="463"/>
      <c r="F204" s="463"/>
      <c r="G204" s="463"/>
      <c r="H204" s="463"/>
      <c r="I204" s="463"/>
      <c r="J204" s="463"/>
      <c r="K204" s="463"/>
      <c r="L204" s="464"/>
    </row>
    <row r="205" spans="1:12">
      <c r="A205" s="461"/>
      <c r="B205" s="463"/>
      <c r="C205" s="463"/>
      <c r="D205" s="463"/>
      <c r="E205" s="463"/>
      <c r="F205" s="463"/>
      <c r="G205" s="463"/>
      <c r="H205" s="463"/>
      <c r="I205" s="463"/>
      <c r="J205" s="463"/>
      <c r="K205" s="463"/>
      <c r="L205" s="464"/>
    </row>
    <row r="206" spans="1:12">
      <c r="A206" s="461"/>
      <c r="B206" s="463"/>
      <c r="C206" s="463"/>
      <c r="D206" s="463"/>
      <c r="E206" s="463"/>
      <c r="F206" s="463"/>
      <c r="G206" s="463"/>
      <c r="H206" s="463"/>
      <c r="I206" s="463"/>
      <c r="J206" s="463"/>
      <c r="K206" s="463"/>
      <c r="L206" s="464"/>
    </row>
    <row r="207" spans="1:12">
      <c r="A207" s="461"/>
      <c r="B207" s="463"/>
      <c r="C207" s="463"/>
      <c r="D207" s="463"/>
      <c r="E207" s="463"/>
      <c r="F207" s="463"/>
      <c r="G207" s="463"/>
      <c r="H207" s="463"/>
      <c r="I207" s="463"/>
      <c r="J207" s="463"/>
      <c r="K207" s="463"/>
      <c r="L207" s="464"/>
    </row>
    <row r="208" spans="1:12">
      <c r="A208" s="461"/>
      <c r="B208" s="463"/>
      <c r="C208" s="463"/>
      <c r="D208" s="463"/>
      <c r="E208" s="463"/>
      <c r="F208" s="463"/>
      <c r="G208" s="463"/>
      <c r="H208" s="463"/>
      <c r="I208" s="463"/>
      <c r="J208" s="463"/>
      <c r="K208" s="463"/>
      <c r="L208" s="464"/>
    </row>
    <row r="209" spans="1:12">
      <c r="A209" s="461"/>
      <c r="B209" s="463"/>
      <c r="C209" s="463"/>
      <c r="D209" s="463"/>
      <c r="E209" s="463"/>
      <c r="F209" s="463"/>
      <c r="G209" s="463"/>
      <c r="H209" s="463"/>
      <c r="I209" s="463"/>
      <c r="J209" s="463"/>
      <c r="K209" s="463"/>
      <c r="L209" s="464"/>
    </row>
    <row r="210" spans="1:12">
      <c r="A210" s="461"/>
      <c r="B210" s="463"/>
      <c r="C210" s="463"/>
      <c r="D210" s="463"/>
      <c r="E210" s="463"/>
      <c r="F210" s="463"/>
      <c r="G210" s="463"/>
      <c r="H210" s="463"/>
      <c r="I210" s="463"/>
      <c r="J210" s="463"/>
      <c r="K210" s="463"/>
      <c r="L210" s="464"/>
    </row>
    <row r="211" spans="1:12">
      <c r="A211" s="461"/>
      <c r="B211" s="463"/>
      <c r="C211" s="463"/>
      <c r="D211" s="463"/>
      <c r="E211" s="463"/>
      <c r="F211" s="463"/>
      <c r="G211" s="463"/>
      <c r="H211" s="463"/>
      <c r="I211" s="463"/>
      <c r="J211" s="463"/>
      <c r="K211" s="463"/>
      <c r="L211" s="464"/>
    </row>
    <row r="212" spans="1:12">
      <c r="A212" s="461"/>
      <c r="B212" s="463"/>
      <c r="C212" s="463"/>
      <c r="D212" s="463"/>
      <c r="E212" s="463"/>
      <c r="F212" s="463"/>
      <c r="G212" s="463"/>
      <c r="H212" s="463"/>
      <c r="I212" s="463"/>
      <c r="J212" s="463"/>
      <c r="K212" s="463"/>
      <c r="L212" s="464"/>
    </row>
    <row r="213" spans="1:12">
      <c r="A213" s="461"/>
      <c r="B213" s="463"/>
      <c r="C213" s="463"/>
      <c r="D213" s="463"/>
      <c r="E213" s="463"/>
      <c r="F213" s="463"/>
      <c r="G213" s="463"/>
      <c r="H213" s="463"/>
      <c r="I213" s="463"/>
      <c r="J213" s="463"/>
      <c r="K213" s="463"/>
      <c r="L213" s="464"/>
    </row>
    <row r="214" spans="1:12">
      <c r="A214" s="461"/>
      <c r="B214" s="463"/>
      <c r="C214" s="463"/>
      <c r="D214" s="463"/>
      <c r="E214" s="463"/>
      <c r="F214" s="463"/>
      <c r="G214" s="463"/>
      <c r="H214" s="463"/>
      <c r="I214" s="463"/>
      <c r="J214" s="463"/>
      <c r="K214" s="463"/>
      <c r="L214" s="464"/>
    </row>
    <row r="215" spans="1:12">
      <c r="A215" s="461"/>
      <c r="B215" s="463"/>
      <c r="C215" s="463"/>
      <c r="D215" s="463"/>
      <c r="E215" s="463"/>
      <c r="F215" s="463"/>
      <c r="G215" s="463"/>
      <c r="H215" s="463"/>
      <c r="I215" s="463"/>
      <c r="J215" s="463"/>
      <c r="K215" s="463"/>
      <c r="L215" s="464"/>
    </row>
    <row r="216" spans="1:12">
      <c r="A216" s="461"/>
      <c r="B216" s="463"/>
      <c r="C216" s="463"/>
      <c r="D216" s="463"/>
      <c r="E216" s="463"/>
      <c r="F216" s="463"/>
      <c r="G216" s="463"/>
      <c r="H216" s="463"/>
      <c r="I216" s="463"/>
      <c r="J216" s="463"/>
      <c r="K216" s="463"/>
      <c r="L216" s="464"/>
    </row>
    <row r="217" spans="1:12">
      <c r="A217" s="461"/>
      <c r="B217" s="463"/>
      <c r="C217" s="463"/>
      <c r="D217" s="463"/>
      <c r="E217" s="463"/>
      <c r="F217" s="463"/>
      <c r="G217" s="463"/>
      <c r="H217" s="463"/>
      <c r="I217" s="463"/>
      <c r="J217" s="463"/>
      <c r="K217" s="463"/>
      <c r="L217" s="464"/>
    </row>
    <row r="218" spans="1:12">
      <c r="A218" s="461"/>
      <c r="B218" s="463"/>
      <c r="C218" s="463"/>
      <c r="D218" s="463"/>
      <c r="E218" s="463"/>
      <c r="F218" s="463"/>
      <c r="G218" s="463"/>
      <c r="H218" s="463"/>
      <c r="I218" s="463"/>
      <c r="J218" s="463"/>
      <c r="K218" s="463"/>
      <c r="L218" s="464"/>
    </row>
    <row r="219" spans="1:12">
      <c r="A219" s="461"/>
      <c r="B219" s="463"/>
      <c r="C219" s="463"/>
      <c r="D219" s="463"/>
      <c r="E219" s="463"/>
      <c r="F219" s="463"/>
      <c r="G219" s="463"/>
      <c r="H219" s="463"/>
      <c r="I219" s="463"/>
      <c r="J219" s="463"/>
      <c r="K219" s="463"/>
      <c r="L219" s="464"/>
    </row>
    <row r="220" spans="1:12">
      <c r="A220" s="461"/>
      <c r="B220" s="463"/>
      <c r="C220" s="463"/>
      <c r="D220" s="463"/>
      <c r="E220" s="463"/>
      <c r="F220" s="463"/>
      <c r="G220" s="463"/>
      <c r="H220" s="463"/>
      <c r="I220" s="463"/>
      <c r="J220" s="463"/>
      <c r="K220" s="463"/>
      <c r="L220" s="464"/>
    </row>
    <row r="221" spans="1:12">
      <c r="A221" s="461"/>
      <c r="B221" s="463"/>
      <c r="C221" s="463"/>
      <c r="D221" s="463"/>
      <c r="E221" s="463"/>
      <c r="F221" s="463"/>
      <c r="G221" s="463"/>
      <c r="H221" s="463"/>
      <c r="I221" s="463"/>
      <c r="J221" s="463"/>
      <c r="K221" s="463"/>
      <c r="L221" s="464"/>
    </row>
    <row r="222" spans="1:12">
      <c r="A222" s="461"/>
      <c r="B222" s="463"/>
      <c r="C222" s="463"/>
      <c r="D222" s="463"/>
      <c r="E222" s="463"/>
      <c r="F222" s="463"/>
      <c r="G222" s="463"/>
      <c r="H222" s="463"/>
      <c r="I222" s="463"/>
      <c r="J222" s="463"/>
      <c r="K222" s="463"/>
      <c r="L222" s="464"/>
    </row>
    <row r="223" spans="1:12">
      <c r="A223" s="461"/>
      <c r="B223" s="463"/>
      <c r="C223" s="463"/>
      <c r="D223" s="463"/>
      <c r="E223" s="463"/>
      <c r="F223" s="463"/>
      <c r="G223" s="463"/>
      <c r="H223" s="463"/>
      <c r="I223" s="463"/>
      <c r="J223" s="463"/>
      <c r="K223" s="463"/>
      <c r="L223" s="464"/>
    </row>
    <row r="224" spans="1:12">
      <c r="A224" s="461"/>
      <c r="B224" s="463"/>
      <c r="C224" s="463"/>
      <c r="D224" s="463"/>
      <c r="E224" s="463"/>
      <c r="F224" s="463"/>
      <c r="G224" s="463"/>
      <c r="H224" s="463"/>
      <c r="I224" s="463"/>
      <c r="J224" s="463"/>
      <c r="K224" s="463"/>
      <c r="L224" s="464"/>
    </row>
    <row r="225" spans="1:12">
      <c r="A225" s="461"/>
      <c r="B225" s="463"/>
      <c r="C225" s="463"/>
      <c r="D225" s="463"/>
      <c r="E225" s="463"/>
      <c r="F225" s="463"/>
      <c r="G225" s="463"/>
      <c r="H225" s="463"/>
      <c r="I225" s="463"/>
      <c r="J225" s="463"/>
      <c r="K225" s="463"/>
      <c r="L225" s="464"/>
    </row>
    <row r="226" spans="1:12">
      <c r="A226" s="461"/>
      <c r="B226" s="463"/>
      <c r="C226" s="463"/>
      <c r="D226" s="463"/>
      <c r="E226" s="463"/>
      <c r="F226" s="463"/>
      <c r="G226" s="463"/>
      <c r="H226" s="463"/>
      <c r="I226" s="463"/>
      <c r="J226" s="463"/>
      <c r="K226" s="463"/>
      <c r="L226" s="464"/>
    </row>
    <row r="227" spans="1:12">
      <c r="A227" s="461"/>
      <c r="B227" s="463"/>
      <c r="C227" s="463"/>
      <c r="D227" s="463"/>
      <c r="E227" s="463"/>
      <c r="F227" s="463"/>
      <c r="G227" s="463"/>
      <c r="H227" s="463"/>
      <c r="I227" s="463"/>
      <c r="J227" s="463"/>
      <c r="K227" s="463"/>
      <c r="L227" s="464"/>
    </row>
    <row r="228" spans="1:12">
      <c r="A228" s="461"/>
      <c r="B228" s="463"/>
      <c r="C228" s="463"/>
      <c r="D228" s="463"/>
      <c r="E228" s="463"/>
      <c r="F228" s="463"/>
      <c r="G228" s="463"/>
      <c r="H228" s="463"/>
      <c r="I228" s="463"/>
      <c r="J228" s="463"/>
      <c r="K228" s="463"/>
      <c r="L228" s="464"/>
    </row>
    <row r="229" spans="1:12">
      <c r="A229" s="461"/>
      <c r="B229" s="463"/>
      <c r="C229" s="463"/>
      <c r="D229" s="463"/>
      <c r="E229" s="463"/>
      <c r="F229" s="463"/>
      <c r="G229" s="463"/>
      <c r="H229" s="463"/>
      <c r="I229" s="463"/>
      <c r="J229" s="463"/>
      <c r="K229" s="463"/>
      <c r="L229" s="464"/>
    </row>
    <row r="230" spans="1:12">
      <c r="A230" s="461"/>
      <c r="B230" s="463"/>
      <c r="C230" s="463"/>
      <c r="D230" s="463"/>
      <c r="E230" s="463"/>
      <c r="F230" s="463"/>
      <c r="G230" s="463"/>
      <c r="H230" s="463"/>
      <c r="I230" s="463"/>
      <c r="J230" s="463"/>
      <c r="K230" s="463"/>
      <c r="L230" s="464"/>
    </row>
    <row r="231" spans="1:12">
      <c r="A231" s="461"/>
      <c r="B231" s="463"/>
      <c r="C231" s="463"/>
      <c r="D231" s="463"/>
      <c r="E231" s="463"/>
      <c r="F231" s="463"/>
      <c r="G231" s="463"/>
      <c r="H231" s="463"/>
      <c r="I231" s="463"/>
      <c r="J231" s="463"/>
      <c r="K231" s="463"/>
      <c r="L231" s="464"/>
    </row>
    <row r="232" spans="1:12">
      <c r="A232" s="461"/>
      <c r="B232" s="463"/>
      <c r="C232" s="463"/>
      <c r="D232" s="463"/>
      <c r="E232" s="463"/>
      <c r="F232" s="463"/>
      <c r="G232" s="463"/>
      <c r="H232" s="463"/>
      <c r="I232" s="463"/>
      <c r="J232" s="463"/>
      <c r="K232" s="463"/>
      <c r="L232" s="464"/>
    </row>
    <row r="233" spans="1:12">
      <c r="A233" s="461"/>
      <c r="B233" s="463"/>
      <c r="C233" s="463"/>
      <c r="D233" s="463"/>
      <c r="E233" s="463"/>
      <c r="F233" s="463"/>
      <c r="G233" s="463"/>
      <c r="H233" s="463"/>
      <c r="I233" s="463"/>
      <c r="J233" s="463"/>
      <c r="K233" s="463"/>
      <c r="L233" s="464"/>
    </row>
    <row r="234" spans="1:12">
      <c r="A234" s="461"/>
      <c r="B234" s="463"/>
      <c r="C234" s="463"/>
      <c r="D234" s="463"/>
      <c r="E234" s="463"/>
      <c r="F234" s="463"/>
      <c r="G234" s="463"/>
      <c r="H234" s="463"/>
      <c r="I234" s="463"/>
      <c r="J234" s="463"/>
      <c r="K234" s="463"/>
      <c r="L234" s="464"/>
    </row>
    <row r="235" spans="1:12">
      <c r="A235" s="461"/>
      <c r="B235" s="463"/>
      <c r="C235" s="463"/>
      <c r="D235" s="463"/>
      <c r="E235" s="463"/>
      <c r="F235" s="463"/>
      <c r="G235" s="463"/>
      <c r="H235" s="463"/>
      <c r="I235" s="463"/>
      <c r="J235" s="463"/>
      <c r="K235" s="463"/>
      <c r="L235" s="464"/>
    </row>
    <row r="236" spans="1:12">
      <c r="A236" s="461"/>
      <c r="B236" s="463"/>
      <c r="C236" s="463"/>
      <c r="D236" s="463"/>
      <c r="E236" s="463"/>
      <c r="F236" s="463"/>
      <c r="G236" s="463"/>
      <c r="H236" s="463"/>
      <c r="I236" s="463"/>
      <c r="J236" s="463"/>
      <c r="K236" s="463"/>
      <c r="L236" s="464"/>
    </row>
    <row r="237" spans="1:12">
      <c r="A237" s="461"/>
      <c r="B237" s="463"/>
      <c r="C237" s="463"/>
      <c r="D237" s="463"/>
      <c r="E237" s="463"/>
      <c r="F237" s="463"/>
      <c r="G237" s="463"/>
      <c r="H237" s="463"/>
      <c r="I237" s="463"/>
      <c r="J237" s="463"/>
      <c r="K237" s="463"/>
      <c r="L237" s="464"/>
    </row>
    <row r="238" spans="1:12">
      <c r="A238" s="461"/>
      <c r="B238" s="463"/>
      <c r="C238" s="463"/>
      <c r="D238" s="463"/>
      <c r="E238" s="463"/>
      <c r="F238" s="463"/>
      <c r="G238" s="463"/>
      <c r="H238" s="463"/>
      <c r="I238" s="463"/>
      <c r="J238" s="463"/>
      <c r="K238" s="463"/>
      <c r="L238" s="464"/>
    </row>
    <row r="239" spans="1:12">
      <c r="A239" s="465"/>
      <c r="B239" s="466"/>
      <c r="C239" s="466"/>
      <c r="D239" s="466"/>
      <c r="E239" s="466"/>
      <c r="F239" s="466"/>
      <c r="G239" s="466"/>
      <c r="H239" s="466"/>
      <c r="I239" s="466"/>
      <c r="J239" s="466"/>
      <c r="K239" s="466"/>
      <c r="L239" s="467"/>
    </row>
    <row r="241" spans="1:12">
      <c r="B241" s="463"/>
      <c r="C241" s="463"/>
      <c r="D241" s="463"/>
      <c r="E241" s="463"/>
      <c r="F241" s="463"/>
      <c r="G241" s="463"/>
      <c r="H241" s="463"/>
      <c r="I241" s="463"/>
      <c r="J241" s="463"/>
    </row>
    <row r="242" spans="1:12" ht="15.75">
      <c r="B242" s="463"/>
      <c r="C242" s="463"/>
      <c r="D242" s="462" t="s">
        <v>686</v>
      </c>
      <c r="E242" s="424"/>
      <c r="F242" s="424"/>
      <c r="G242" s="424"/>
      <c r="H242" s="424"/>
      <c r="I242" s="463"/>
      <c r="J242" s="463"/>
    </row>
    <row r="243" spans="1:12" ht="30">
      <c r="B243" s="463"/>
      <c r="C243" s="463"/>
      <c r="D243" s="463"/>
      <c r="E243" s="454" t="s">
        <v>672</v>
      </c>
      <c r="F243" s="455" t="s">
        <v>692</v>
      </c>
      <c r="G243" s="455" t="s">
        <v>693</v>
      </c>
      <c r="H243" s="463"/>
      <c r="I243" s="424"/>
      <c r="J243" s="463"/>
    </row>
    <row r="244" spans="1:12" ht="31.5" customHeight="1">
      <c r="B244" s="463"/>
      <c r="C244" s="463"/>
      <c r="D244" s="463"/>
      <c r="E244" s="454" t="s">
        <v>57</v>
      </c>
      <c r="F244" s="469">
        <v>8.6199999999999992</v>
      </c>
      <c r="G244" s="469">
        <v>6.16</v>
      </c>
      <c r="H244" s="463"/>
      <c r="I244" s="424"/>
      <c r="J244" s="463"/>
    </row>
    <row r="245" spans="1:12">
      <c r="B245" s="463"/>
      <c r="C245" s="463"/>
      <c r="D245" s="463"/>
      <c r="E245" s="463"/>
      <c r="F245" s="463"/>
      <c r="G245" s="463"/>
      <c r="H245" s="463"/>
      <c r="I245" s="463"/>
      <c r="J245" s="463"/>
    </row>
    <row r="246" spans="1:12">
      <c r="A246" s="458"/>
      <c r="B246" s="459"/>
      <c r="C246" s="459"/>
      <c r="D246" s="459"/>
      <c r="E246" s="459"/>
      <c r="F246" s="459"/>
      <c r="G246" s="459"/>
      <c r="H246" s="459"/>
      <c r="I246" s="459"/>
      <c r="J246" s="459"/>
      <c r="K246" s="459"/>
      <c r="L246" s="460"/>
    </row>
    <row r="247" spans="1:12">
      <c r="A247" s="461"/>
      <c r="B247" s="463"/>
      <c r="C247" s="463"/>
      <c r="D247" s="463"/>
      <c r="E247" s="463"/>
      <c r="F247" s="463"/>
      <c r="G247" s="463"/>
      <c r="H247" s="463"/>
      <c r="I247" s="463"/>
      <c r="J247" s="463"/>
      <c r="K247" s="463"/>
      <c r="L247" s="464"/>
    </row>
    <row r="248" spans="1:12">
      <c r="A248" s="461"/>
      <c r="B248" s="463"/>
      <c r="C248" s="463"/>
      <c r="D248" s="463"/>
      <c r="E248" s="463"/>
      <c r="F248" s="463"/>
      <c r="G248" s="463"/>
      <c r="H248" s="463"/>
      <c r="I248" s="463"/>
      <c r="J248" s="463"/>
      <c r="K248" s="463"/>
      <c r="L248" s="464"/>
    </row>
    <row r="249" spans="1:12">
      <c r="A249" s="461"/>
      <c r="B249" s="463"/>
      <c r="C249" s="463"/>
      <c r="D249" s="463"/>
      <c r="E249" s="463"/>
      <c r="F249" s="463"/>
      <c r="G249" s="463"/>
      <c r="H249" s="463"/>
      <c r="I249" s="463"/>
      <c r="J249" s="463"/>
      <c r="K249" s="463"/>
      <c r="L249" s="464"/>
    </row>
    <row r="250" spans="1:12">
      <c r="A250" s="461"/>
      <c r="B250" s="463"/>
      <c r="C250" s="463"/>
      <c r="D250" s="463"/>
      <c r="E250" s="463"/>
      <c r="F250" s="463"/>
      <c r="G250" s="463"/>
      <c r="H250" s="463"/>
      <c r="I250" s="463"/>
      <c r="J250" s="463"/>
      <c r="K250" s="463"/>
      <c r="L250" s="464"/>
    </row>
    <row r="251" spans="1:12">
      <c r="A251" s="461"/>
      <c r="B251" s="463"/>
      <c r="C251" s="463"/>
      <c r="D251" s="463"/>
      <c r="E251" s="463"/>
      <c r="F251" s="463"/>
      <c r="G251" s="463"/>
      <c r="H251" s="463"/>
      <c r="I251" s="463"/>
      <c r="J251" s="463"/>
      <c r="K251" s="463"/>
      <c r="L251" s="464"/>
    </row>
    <row r="252" spans="1:12">
      <c r="A252" s="461"/>
      <c r="B252" s="463"/>
      <c r="C252" s="463"/>
      <c r="D252" s="463"/>
      <c r="E252" s="463"/>
      <c r="F252" s="463"/>
      <c r="G252" s="463"/>
      <c r="H252" s="463"/>
      <c r="I252" s="463"/>
      <c r="J252" s="463"/>
      <c r="K252" s="463"/>
      <c r="L252" s="464"/>
    </row>
    <row r="253" spans="1:12">
      <c r="A253" s="461"/>
      <c r="B253" s="463"/>
      <c r="C253" s="463"/>
      <c r="D253" s="463"/>
      <c r="E253" s="463"/>
      <c r="F253" s="463"/>
      <c r="G253" s="463"/>
      <c r="H253" s="463"/>
      <c r="I253" s="463"/>
      <c r="J253" s="463"/>
      <c r="K253" s="463"/>
      <c r="L253" s="464"/>
    </row>
    <row r="254" spans="1:12">
      <c r="A254" s="461"/>
      <c r="B254" s="463"/>
      <c r="C254" s="463"/>
      <c r="D254" s="463"/>
      <c r="E254" s="463"/>
      <c r="F254" s="463"/>
      <c r="G254" s="463"/>
      <c r="H254" s="463"/>
      <c r="I254" s="463"/>
      <c r="J254" s="463"/>
      <c r="K254" s="463"/>
      <c r="L254" s="464"/>
    </row>
    <row r="255" spans="1:12">
      <c r="A255" s="461"/>
      <c r="B255" s="463"/>
      <c r="C255" s="463"/>
      <c r="D255" s="463"/>
      <c r="E255" s="463"/>
      <c r="F255" s="463"/>
      <c r="G255" s="463"/>
      <c r="H255" s="463"/>
      <c r="I255" s="463"/>
      <c r="J255" s="463"/>
      <c r="K255" s="463"/>
      <c r="L255" s="464"/>
    </row>
    <row r="256" spans="1:12">
      <c r="A256" s="461"/>
      <c r="B256" s="463"/>
      <c r="C256" s="463"/>
      <c r="D256" s="463"/>
      <c r="E256" s="463"/>
      <c r="F256" s="463"/>
      <c r="G256" s="463"/>
      <c r="H256" s="463"/>
      <c r="I256" s="463"/>
      <c r="J256" s="463"/>
      <c r="K256" s="463"/>
      <c r="L256" s="464"/>
    </row>
    <row r="257" spans="1:12">
      <c r="A257" s="461"/>
      <c r="B257" s="463"/>
      <c r="C257" s="463"/>
      <c r="D257" s="463"/>
      <c r="E257" s="463"/>
      <c r="F257" s="463"/>
      <c r="G257" s="463"/>
      <c r="H257" s="463"/>
      <c r="I257" s="463"/>
      <c r="J257" s="463"/>
      <c r="K257" s="463"/>
      <c r="L257" s="464"/>
    </row>
    <row r="258" spans="1:12">
      <c r="A258" s="461"/>
      <c r="B258" s="463"/>
      <c r="C258" s="463"/>
      <c r="D258" s="463"/>
      <c r="E258" s="463"/>
      <c r="F258" s="463"/>
      <c r="G258" s="463"/>
      <c r="H258" s="463"/>
      <c r="I258" s="463"/>
      <c r="J258" s="463"/>
      <c r="K258" s="463"/>
      <c r="L258" s="464"/>
    </row>
    <row r="259" spans="1:12">
      <c r="A259" s="461"/>
      <c r="B259" s="463"/>
      <c r="C259" s="463"/>
      <c r="D259" s="463"/>
      <c r="E259" s="463"/>
      <c r="F259" s="463"/>
      <c r="G259" s="463"/>
      <c r="H259" s="463"/>
      <c r="I259" s="463"/>
      <c r="J259" s="463"/>
      <c r="K259" s="463"/>
      <c r="L259" s="464"/>
    </row>
    <row r="260" spans="1:12">
      <c r="A260" s="461"/>
      <c r="B260" s="463"/>
      <c r="C260" s="463"/>
      <c r="D260" s="463"/>
      <c r="E260" s="463"/>
      <c r="F260" s="463"/>
      <c r="G260" s="463"/>
      <c r="H260" s="463"/>
      <c r="I260" s="463"/>
      <c r="J260" s="463"/>
      <c r="K260" s="463"/>
      <c r="L260" s="464"/>
    </row>
    <row r="261" spans="1:12">
      <c r="A261" s="461"/>
      <c r="B261" s="463"/>
      <c r="C261" s="463"/>
      <c r="D261" s="463"/>
      <c r="E261" s="463"/>
      <c r="F261" s="463"/>
      <c r="G261" s="463"/>
      <c r="H261" s="463"/>
      <c r="I261" s="463"/>
      <c r="J261" s="463"/>
      <c r="K261" s="463"/>
      <c r="L261" s="464"/>
    </row>
    <row r="262" spans="1:12">
      <c r="A262" s="461"/>
      <c r="B262" s="463"/>
      <c r="C262" s="463"/>
      <c r="D262" s="463"/>
      <c r="E262" s="463"/>
      <c r="F262" s="463"/>
      <c r="G262" s="463"/>
      <c r="H262" s="463"/>
      <c r="I262" s="463"/>
      <c r="J262" s="463"/>
      <c r="K262" s="463"/>
      <c r="L262" s="464"/>
    </row>
    <row r="263" spans="1:12">
      <c r="A263" s="461"/>
      <c r="B263" s="463"/>
      <c r="C263" s="463"/>
      <c r="D263" s="463"/>
      <c r="E263" s="463"/>
      <c r="F263" s="463"/>
      <c r="G263" s="463"/>
      <c r="H263" s="463"/>
      <c r="I263" s="463"/>
      <c r="J263" s="463"/>
      <c r="K263" s="463"/>
      <c r="L263" s="464"/>
    </row>
    <row r="264" spans="1:12">
      <c r="A264" s="461"/>
      <c r="B264" s="463"/>
      <c r="C264" s="463"/>
      <c r="D264" s="463"/>
      <c r="E264" s="463"/>
      <c r="F264" s="463"/>
      <c r="G264" s="463"/>
      <c r="H264" s="463"/>
      <c r="I264" s="463"/>
      <c r="J264" s="463"/>
      <c r="K264" s="463"/>
      <c r="L264" s="464"/>
    </row>
    <row r="265" spans="1:12">
      <c r="A265" s="461"/>
      <c r="B265" s="463"/>
      <c r="C265" s="463"/>
      <c r="D265" s="463"/>
      <c r="E265" s="463"/>
      <c r="F265" s="463"/>
      <c r="G265" s="463"/>
      <c r="H265" s="463"/>
      <c r="I265" s="463"/>
      <c r="J265" s="463"/>
      <c r="K265" s="463"/>
      <c r="L265" s="464"/>
    </row>
    <row r="266" spans="1:12">
      <c r="A266" s="461"/>
      <c r="B266" s="463"/>
      <c r="C266" s="463"/>
      <c r="D266" s="463"/>
      <c r="E266" s="463"/>
      <c r="F266" s="463"/>
      <c r="G266" s="463"/>
      <c r="H266" s="463"/>
      <c r="I266" s="463"/>
      <c r="J266" s="463"/>
      <c r="K266" s="463"/>
      <c r="L266" s="464"/>
    </row>
    <row r="267" spans="1:12">
      <c r="A267" s="461"/>
      <c r="B267" s="463"/>
      <c r="C267" s="463"/>
      <c r="D267" s="463"/>
      <c r="E267" s="463"/>
      <c r="F267" s="463"/>
      <c r="G267" s="463"/>
      <c r="H267" s="463"/>
      <c r="I267" s="463"/>
      <c r="J267" s="463"/>
      <c r="K267" s="463"/>
      <c r="L267" s="464"/>
    </row>
    <row r="268" spans="1:12">
      <c r="A268" s="461"/>
      <c r="B268" s="463"/>
      <c r="C268" s="463"/>
      <c r="D268" s="463"/>
      <c r="E268" s="463"/>
      <c r="F268" s="463"/>
      <c r="G268" s="463"/>
      <c r="H268" s="463"/>
      <c r="I268" s="463"/>
      <c r="J268" s="463"/>
      <c r="K268" s="463"/>
      <c r="L268" s="464"/>
    </row>
    <row r="269" spans="1:12">
      <c r="A269" s="461"/>
      <c r="B269" s="463"/>
      <c r="C269" s="463"/>
      <c r="D269" s="463"/>
      <c r="E269" s="463"/>
      <c r="F269" s="463"/>
      <c r="G269" s="463"/>
      <c r="H269" s="463"/>
      <c r="I269" s="463"/>
      <c r="J269" s="463"/>
      <c r="K269" s="463"/>
      <c r="L269" s="464"/>
    </row>
    <row r="270" spans="1:12">
      <c r="A270" s="461"/>
      <c r="B270" s="463"/>
      <c r="C270" s="463"/>
      <c r="D270" s="463"/>
      <c r="E270" s="463"/>
      <c r="F270" s="463"/>
      <c r="G270" s="463"/>
      <c r="H270" s="463"/>
      <c r="I270" s="463"/>
      <c r="J270" s="463"/>
      <c r="K270" s="463"/>
      <c r="L270" s="464"/>
    </row>
    <row r="271" spans="1:12">
      <c r="A271" s="461"/>
      <c r="B271" s="463"/>
      <c r="C271" s="463"/>
      <c r="D271" s="463"/>
      <c r="E271" s="463"/>
      <c r="F271" s="463"/>
      <c r="G271" s="463"/>
      <c r="H271" s="463"/>
      <c r="I271" s="463"/>
      <c r="J271" s="463"/>
      <c r="K271" s="463"/>
      <c r="L271" s="464"/>
    </row>
    <row r="272" spans="1:12">
      <c r="A272" s="461"/>
      <c r="B272" s="463"/>
      <c r="C272" s="463"/>
      <c r="D272" s="463"/>
      <c r="E272" s="463"/>
      <c r="F272" s="463"/>
      <c r="G272" s="463"/>
      <c r="H272" s="463"/>
      <c r="I272" s="463"/>
      <c r="J272" s="463"/>
      <c r="K272" s="463"/>
      <c r="L272" s="464"/>
    </row>
    <row r="273" spans="1:12">
      <c r="A273" s="461"/>
      <c r="B273" s="463"/>
      <c r="C273" s="463"/>
      <c r="D273" s="463"/>
      <c r="E273" s="463"/>
      <c r="F273" s="463"/>
      <c r="G273" s="463"/>
      <c r="H273" s="463"/>
      <c r="I273" s="463"/>
      <c r="J273" s="463"/>
      <c r="K273" s="463"/>
      <c r="L273" s="464"/>
    </row>
    <row r="274" spans="1:12">
      <c r="A274" s="461"/>
      <c r="B274" s="463"/>
      <c r="C274" s="463"/>
      <c r="D274" s="463"/>
      <c r="E274" s="463"/>
      <c r="F274" s="463"/>
      <c r="G274" s="463"/>
      <c r="H274" s="463"/>
      <c r="I274" s="463"/>
      <c r="J274" s="463"/>
      <c r="K274" s="463"/>
      <c r="L274" s="464"/>
    </row>
    <row r="275" spans="1:12">
      <c r="A275" s="461"/>
      <c r="B275" s="463"/>
      <c r="C275" s="463"/>
      <c r="D275" s="463"/>
      <c r="E275" s="463"/>
      <c r="F275" s="463"/>
      <c r="G275" s="463"/>
      <c r="H275" s="463"/>
      <c r="I275" s="463"/>
      <c r="J275" s="463"/>
      <c r="K275" s="463"/>
      <c r="L275" s="464"/>
    </row>
    <row r="276" spans="1:12">
      <c r="A276" s="461"/>
      <c r="B276" s="463"/>
      <c r="C276" s="463"/>
      <c r="D276" s="463"/>
      <c r="E276" s="463"/>
      <c r="F276" s="463"/>
      <c r="G276" s="463"/>
      <c r="H276" s="463"/>
      <c r="I276" s="463"/>
      <c r="J276" s="463"/>
      <c r="K276" s="463"/>
      <c r="L276" s="464"/>
    </row>
    <row r="277" spans="1:12">
      <c r="A277" s="461"/>
      <c r="B277" s="463"/>
      <c r="C277" s="463"/>
      <c r="D277" s="463"/>
      <c r="E277" s="463"/>
      <c r="F277" s="463"/>
      <c r="G277" s="463"/>
      <c r="H277" s="463"/>
      <c r="I277" s="463"/>
      <c r="J277" s="463"/>
      <c r="K277" s="463"/>
      <c r="L277" s="464"/>
    </row>
    <row r="278" spans="1:12">
      <c r="A278" s="461"/>
      <c r="B278" s="463"/>
      <c r="C278" s="463"/>
      <c r="D278" s="463"/>
      <c r="E278" s="463"/>
      <c r="F278" s="463"/>
      <c r="G278" s="463"/>
      <c r="H278" s="463"/>
      <c r="I278" s="463"/>
      <c r="J278" s="463"/>
      <c r="K278" s="463"/>
      <c r="L278" s="464"/>
    </row>
    <row r="279" spans="1:12">
      <c r="A279" s="461"/>
      <c r="B279" s="463"/>
      <c r="C279" s="463"/>
      <c r="D279" s="463"/>
      <c r="E279" s="463"/>
      <c r="F279" s="463"/>
      <c r="G279" s="463"/>
      <c r="H279" s="463"/>
      <c r="I279" s="463"/>
      <c r="J279" s="463"/>
      <c r="K279" s="463"/>
      <c r="L279" s="464"/>
    </row>
    <row r="280" spans="1:12">
      <c r="A280" s="461"/>
      <c r="B280" s="463"/>
      <c r="C280" s="463"/>
      <c r="D280" s="463"/>
      <c r="E280" s="463"/>
      <c r="F280" s="463"/>
      <c r="G280" s="463"/>
      <c r="H280" s="463"/>
      <c r="I280" s="463"/>
      <c r="J280" s="463"/>
      <c r="K280" s="463"/>
      <c r="L280" s="464"/>
    </row>
    <row r="281" spans="1:12">
      <c r="A281" s="461"/>
      <c r="B281" s="463"/>
      <c r="C281" s="463"/>
      <c r="D281" s="463"/>
      <c r="E281" s="463"/>
      <c r="F281" s="463"/>
      <c r="G281" s="463"/>
      <c r="H281" s="463"/>
      <c r="I281" s="463"/>
      <c r="J281" s="463"/>
      <c r="K281" s="463"/>
      <c r="L281" s="464"/>
    </row>
    <row r="282" spans="1:12">
      <c r="A282" s="461"/>
      <c r="B282" s="463"/>
      <c r="C282" s="463"/>
      <c r="D282" s="463"/>
      <c r="E282" s="463"/>
      <c r="F282" s="463"/>
      <c r="G282" s="463"/>
      <c r="H282" s="463"/>
      <c r="I282" s="463"/>
      <c r="J282" s="463"/>
      <c r="K282" s="463"/>
      <c r="L282" s="464"/>
    </row>
    <row r="283" spans="1:12">
      <c r="A283" s="461"/>
      <c r="B283" s="463"/>
      <c r="C283" s="463"/>
      <c r="D283" s="463"/>
      <c r="E283" s="463"/>
      <c r="F283" s="463"/>
      <c r="G283" s="463"/>
      <c r="H283" s="463"/>
      <c r="I283" s="463"/>
      <c r="J283" s="463"/>
      <c r="K283" s="463"/>
      <c r="L283" s="464"/>
    </row>
    <row r="284" spans="1:12">
      <c r="A284" s="461"/>
      <c r="B284" s="463"/>
      <c r="C284" s="463"/>
      <c r="D284" s="463"/>
      <c r="E284" s="463"/>
      <c r="F284" s="463"/>
      <c r="G284" s="463"/>
      <c r="H284" s="463"/>
      <c r="I284" s="463"/>
      <c r="J284" s="463"/>
      <c r="K284" s="463"/>
      <c r="L284" s="464"/>
    </row>
    <row r="285" spans="1:12">
      <c r="A285" s="461"/>
      <c r="B285" s="463"/>
      <c r="C285" s="463"/>
      <c r="D285" s="463"/>
      <c r="E285" s="463"/>
      <c r="F285" s="463"/>
      <c r="G285" s="463"/>
      <c r="H285" s="463"/>
      <c r="I285" s="463"/>
      <c r="J285" s="463"/>
      <c r="K285" s="463"/>
      <c r="L285" s="464"/>
    </row>
    <row r="286" spans="1:12">
      <c r="A286" s="461"/>
      <c r="B286" s="463"/>
      <c r="C286" s="463"/>
      <c r="D286" s="463"/>
      <c r="E286" s="463"/>
      <c r="F286" s="463"/>
      <c r="G286" s="463"/>
      <c r="H286" s="463"/>
      <c r="I286" s="463"/>
      <c r="J286" s="463"/>
      <c r="K286" s="463"/>
      <c r="L286" s="464"/>
    </row>
    <row r="287" spans="1:12">
      <c r="A287" s="461"/>
      <c r="B287" s="463"/>
      <c r="C287" s="463"/>
      <c r="D287" s="463"/>
      <c r="E287" s="463"/>
      <c r="F287" s="463"/>
      <c r="G287" s="463"/>
      <c r="H287" s="463"/>
      <c r="I287" s="463"/>
      <c r="J287" s="463"/>
      <c r="K287" s="463"/>
      <c r="L287" s="464"/>
    </row>
    <row r="288" spans="1:12">
      <c r="A288" s="461"/>
      <c r="B288" s="463"/>
      <c r="C288" s="463"/>
      <c r="D288" s="463"/>
      <c r="E288" s="463"/>
      <c r="F288" s="463"/>
      <c r="G288" s="463"/>
      <c r="H288" s="463"/>
      <c r="I288" s="463"/>
      <c r="J288" s="463"/>
      <c r="K288" s="463"/>
      <c r="L288" s="464"/>
    </row>
    <row r="289" spans="1:12">
      <c r="A289" s="465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7"/>
    </row>
    <row r="291" spans="1:12">
      <c r="B291" s="463"/>
      <c r="C291" s="463"/>
      <c r="D291" s="463"/>
      <c r="E291" s="463"/>
      <c r="F291" s="463"/>
      <c r="G291" s="463"/>
      <c r="H291" s="463"/>
      <c r="I291" s="463"/>
      <c r="J291" s="463"/>
    </row>
    <row r="292" spans="1:12" ht="15.75">
      <c r="B292" s="463"/>
      <c r="C292" s="463"/>
      <c r="D292" s="463"/>
      <c r="E292" s="462" t="s">
        <v>687</v>
      </c>
      <c r="F292" s="424"/>
      <c r="G292" s="424"/>
      <c r="H292" s="463"/>
      <c r="I292" s="463"/>
      <c r="J292" s="463"/>
    </row>
    <row r="293" spans="1:12" ht="30">
      <c r="B293" s="463"/>
      <c r="C293" s="463"/>
      <c r="D293" s="463"/>
      <c r="E293" s="463"/>
      <c r="F293" s="463"/>
      <c r="G293" s="455" t="s">
        <v>691</v>
      </c>
      <c r="H293" s="463"/>
      <c r="I293" s="424"/>
      <c r="J293" s="463"/>
    </row>
    <row r="294" spans="1:12" ht="31.5" customHeight="1">
      <c r="B294" s="463"/>
      <c r="C294" s="463"/>
      <c r="D294" s="463"/>
      <c r="E294" s="480" t="s">
        <v>688</v>
      </c>
      <c r="F294" s="481"/>
      <c r="G294" s="479">
        <v>106.15</v>
      </c>
      <c r="H294" s="463"/>
      <c r="I294" s="424"/>
      <c r="J294" s="463"/>
    </row>
    <row r="295" spans="1:12">
      <c r="B295" s="463"/>
      <c r="C295" s="463"/>
      <c r="D295" s="463"/>
      <c r="E295" s="463"/>
      <c r="F295" s="463"/>
      <c r="G295" s="463"/>
      <c r="H295" s="463"/>
      <c r="I295" s="463"/>
      <c r="J295" s="463"/>
    </row>
    <row r="296" spans="1:12">
      <c r="A296" s="458"/>
      <c r="B296" s="459"/>
      <c r="C296" s="459"/>
      <c r="D296" s="459"/>
      <c r="E296" s="459"/>
      <c r="F296" s="459"/>
      <c r="G296" s="459"/>
      <c r="H296" s="459"/>
      <c r="I296" s="459"/>
      <c r="J296" s="459"/>
      <c r="K296" s="459"/>
      <c r="L296" s="460"/>
    </row>
    <row r="297" spans="1:12">
      <c r="A297" s="461"/>
      <c r="B297" s="463"/>
      <c r="C297" s="463"/>
      <c r="D297" s="463"/>
      <c r="E297" s="463"/>
      <c r="F297" s="463"/>
      <c r="G297" s="463"/>
      <c r="H297" s="463"/>
      <c r="I297" s="463"/>
      <c r="J297" s="463"/>
      <c r="K297" s="463"/>
      <c r="L297" s="464"/>
    </row>
    <row r="298" spans="1:12">
      <c r="A298" s="461"/>
      <c r="B298" s="463"/>
      <c r="C298" s="463"/>
      <c r="D298" s="463"/>
      <c r="E298" s="463"/>
      <c r="F298" s="463"/>
      <c r="G298" s="463"/>
      <c r="H298" s="463"/>
      <c r="I298" s="463"/>
      <c r="J298" s="463"/>
      <c r="K298" s="463"/>
      <c r="L298" s="464"/>
    </row>
    <row r="299" spans="1:12">
      <c r="A299" s="461"/>
      <c r="B299" s="463"/>
      <c r="C299" s="463"/>
      <c r="D299" s="463"/>
      <c r="E299" s="463"/>
      <c r="F299" s="463"/>
      <c r="G299" s="463"/>
      <c r="H299" s="463"/>
      <c r="I299" s="463"/>
      <c r="J299" s="463"/>
      <c r="K299" s="463"/>
      <c r="L299" s="464"/>
    </row>
    <row r="300" spans="1:12">
      <c r="A300" s="461"/>
      <c r="B300" s="463"/>
      <c r="C300" s="463"/>
      <c r="D300" s="463"/>
      <c r="E300" s="463"/>
      <c r="F300" s="463"/>
      <c r="G300" s="463"/>
      <c r="H300" s="463"/>
      <c r="I300" s="463"/>
      <c r="J300" s="463"/>
      <c r="K300" s="463"/>
      <c r="L300" s="464"/>
    </row>
    <row r="301" spans="1:12">
      <c r="A301" s="461"/>
      <c r="B301" s="463"/>
      <c r="C301" s="463"/>
      <c r="D301" s="463"/>
      <c r="E301" s="463"/>
      <c r="F301" s="463"/>
      <c r="G301" s="463"/>
      <c r="H301" s="463"/>
      <c r="I301" s="463"/>
      <c r="J301" s="463"/>
      <c r="K301" s="463"/>
      <c r="L301" s="464"/>
    </row>
    <row r="302" spans="1:12">
      <c r="A302" s="461"/>
      <c r="B302" s="463"/>
      <c r="C302" s="463"/>
      <c r="D302" s="463"/>
      <c r="E302" s="463"/>
      <c r="F302" s="463"/>
      <c r="G302" s="463"/>
      <c r="H302" s="463"/>
      <c r="I302" s="463"/>
      <c r="J302" s="463"/>
      <c r="K302" s="463"/>
      <c r="L302" s="464"/>
    </row>
    <row r="303" spans="1:12">
      <c r="A303" s="461"/>
      <c r="B303" s="463"/>
      <c r="C303" s="463"/>
      <c r="D303" s="463"/>
      <c r="E303" s="463"/>
      <c r="F303" s="463"/>
      <c r="G303" s="463"/>
      <c r="H303" s="463"/>
      <c r="I303" s="463"/>
      <c r="J303" s="463"/>
      <c r="K303" s="463"/>
      <c r="L303" s="464"/>
    </row>
    <row r="304" spans="1:12">
      <c r="A304" s="461"/>
      <c r="B304" s="463"/>
      <c r="C304" s="463"/>
      <c r="D304" s="463"/>
      <c r="E304" s="463"/>
      <c r="F304" s="463"/>
      <c r="G304" s="463"/>
      <c r="H304" s="463"/>
      <c r="I304" s="463"/>
      <c r="J304" s="463"/>
      <c r="K304" s="463"/>
      <c r="L304" s="464"/>
    </row>
    <row r="305" spans="1:12">
      <c r="A305" s="461"/>
      <c r="B305" s="463"/>
      <c r="C305" s="463"/>
      <c r="D305" s="463"/>
      <c r="E305" s="463"/>
      <c r="F305" s="463"/>
      <c r="G305" s="463"/>
      <c r="H305" s="463"/>
      <c r="I305" s="463"/>
      <c r="J305" s="463"/>
      <c r="K305" s="463"/>
      <c r="L305" s="464"/>
    </row>
    <row r="306" spans="1:12">
      <c r="A306" s="461"/>
      <c r="B306" s="463"/>
      <c r="C306" s="463"/>
      <c r="D306" s="463"/>
      <c r="E306" s="463"/>
      <c r="F306" s="463"/>
      <c r="G306" s="463"/>
      <c r="H306" s="463"/>
      <c r="I306" s="463"/>
      <c r="J306" s="463"/>
      <c r="K306" s="463"/>
      <c r="L306" s="464"/>
    </row>
    <row r="307" spans="1:12">
      <c r="A307" s="461"/>
      <c r="B307" s="463"/>
      <c r="C307" s="463"/>
      <c r="D307" s="463"/>
      <c r="E307" s="463"/>
      <c r="F307" s="463"/>
      <c r="G307" s="463"/>
      <c r="H307" s="463"/>
      <c r="I307" s="463"/>
      <c r="J307" s="463"/>
      <c r="K307" s="463"/>
      <c r="L307" s="464"/>
    </row>
    <row r="308" spans="1:12">
      <c r="A308" s="461"/>
      <c r="B308" s="463"/>
      <c r="C308" s="463"/>
      <c r="D308" s="463"/>
      <c r="E308" s="463"/>
      <c r="F308" s="463"/>
      <c r="G308" s="463"/>
      <c r="H308" s="463"/>
      <c r="I308" s="463"/>
      <c r="J308" s="463"/>
      <c r="K308" s="463"/>
      <c r="L308" s="464"/>
    </row>
    <row r="309" spans="1:12">
      <c r="A309" s="461"/>
      <c r="B309" s="463"/>
      <c r="C309" s="463"/>
      <c r="D309" s="463"/>
      <c r="E309" s="463"/>
      <c r="F309" s="463"/>
      <c r="G309" s="463"/>
      <c r="H309" s="463"/>
      <c r="I309" s="463"/>
      <c r="J309" s="463"/>
      <c r="K309" s="463"/>
      <c r="L309" s="464"/>
    </row>
    <row r="310" spans="1:12">
      <c r="A310" s="461"/>
      <c r="B310" s="463"/>
      <c r="C310" s="463"/>
      <c r="D310" s="463"/>
      <c r="E310" s="463"/>
      <c r="F310" s="463"/>
      <c r="G310" s="463"/>
      <c r="H310" s="463"/>
      <c r="I310" s="463"/>
      <c r="J310" s="463"/>
      <c r="K310" s="463"/>
      <c r="L310" s="464"/>
    </row>
    <row r="311" spans="1:12">
      <c r="A311" s="461"/>
      <c r="B311" s="463"/>
      <c r="C311" s="463"/>
      <c r="D311" s="463"/>
      <c r="E311" s="463"/>
      <c r="F311" s="463"/>
      <c r="G311" s="463"/>
      <c r="H311" s="463"/>
      <c r="I311" s="463"/>
      <c r="J311" s="463"/>
      <c r="K311" s="463"/>
      <c r="L311" s="464"/>
    </row>
    <row r="312" spans="1:12">
      <c r="A312" s="461"/>
      <c r="B312" s="463"/>
      <c r="C312" s="463"/>
      <c r="D312" s="463"/>
      <c r="E312" s="463"/>
      <c r="F312" s="463"/>
      <c r="G312" s="463"/>
      <c r="H312" s="463"/>
      <c r="I312" s="463"/>
      <c r="J312" s="463"/>
      <c r="K312" s="463"/>
      <c r="L312" s="464"/>
    </row>
    <row r="313" spans="1:12">
      <c r="A313" s="461"/>
      <c r="B313" s="463"/>
      <c r="C313" s="463"/>
      <c r="D313" s="463"/>
      <c r="E313" s="463"/>
      <c r="F313" s="463"/>
      <c r="G313" s="463"/>
      <c r="H313" s="463"/>
      <c r="I313" s="463"/>
      <c r="J313" s="463"/>
      <c r="K313" s="463"/>
      <c r="L313" s="464"/>
    </row>
    <row r="314" spans="1:12">
      <c r="A314" s="461"/>
      <c r="B314" s="463"/>
      <c r="C314" s="463"/>
      <c r="D314" s="463"/>
      <c r="E314" s="463"/>
      <c r="F314" s="463"/>
      <c r="G314" s="463"/>
      <c r="H314" s="463"/>
      <c r="I314" s="463"/>
      <c r="J314" s="463"/>
      <c r="K314" s="463"/>
      <c r="L314" s="464"/>
    </row>
    <row r="315" spans="1:12">
      <c r="A315" s="461"/>
      <c r="B315" s="463"/>
      <c r="C315" s="463"/>
      <c r="D315" s="463"/>
      <c r="E315" s="463"/>
      <c r="F315" s="463"/>
      <c r="G315" s="463"/>
      <c r="H315" s="463"/>
      <c r="I315" s="463"/>
      <c r="J315" s="463"/>
      <c r="K315" s="463"/>
      <c r="L315" s="464"/>
    </row>
    <row r="316" spans="1:12">
      <c r="A316" s="461"/>
      <c r="B316" s="463"/>
      <c r="C316" s="463"/>
      <c r="D316" s="463"/>
      <c r="E316" s="463"/>
      <c r="F316" s="463"/>
      <c r="G316" s="463"/>
      <c r="H316" s="463"/>
      <c r="I316" s="463"/>
      <c r="J316" s="463"/>
      <c r="K316" s="463"/>
      <c r="L316" s="464"/>
    </row>
    <row r="317" spans="1:12">
      <c r="A317" s="461"/>
      <c r="B317" s="463"/>
      <c r="C317" s="463"/>
      <c r="D317" s="463"/>
      <c r="E317" s="463"/>
      <c r="F317" s="463"/>
      <c r="G317" s="463"/>
      <c r="H317" s="463"/>
      <c r="I317" s="463"/>
      <c r="J317" s="463"/>
      <c r="K317" s="463"/>
      <c r="L317" s="464"/>
    </row>
    <row r="318" spans="1:12">
      <c r="A318" s="461"/>
      <c r="B318" s="463"/>
      <c r="C318" s="463"/>
      <c r="D318" s="463"/>
      <c r="E318" s="463"/>
      <c r="F318" s="463"/>
      <c r="G318" s="463"/>
      <c r="H318" s="463"/>
      <c r="I318" s="463"/>
      <c r="J318" s="463"/>
      <c r="K318" s="463"/>
      <c r="L318" s="464"/>
    </row>
    <row r="319" spans="1:12">
      <c r="A319" s="461"/>
      <c r="B319" s="463"/>
      <c r="C319" s="463"/>
      <c r="D319" s="463"/>
      <c r="E319" s="463"/>
      <c r="F319" s="463"/>
      <c r="G319" s="463"/>
      <c r="H319" s="463"/>
      <c r="I319" s="463"/>
      <c r="J319" s="463"/>
      <c r="K319" s="463"/>
      <c r="L319" s="464"/>
    </row>
    <row r="320" spans="1:12">
      <c r="A320" s="461"/>
      <c r="B320" s="463"/>
      <c r="C320" s="463"/>
      <c r="D320" s="463"/>
      <c r="E320" s="463"/>
      <c r="F320" s="463"/>
      <c r="G320" s="463"/>
      <c r="H320" s="463"/>
      <c r="I320" s="463"/>
      <c r="J320" s="463"/>
      <c r="K320" s="463"/>
      <c r="L320" s="464"/>
    </row>
    <row r="321" spans="1:12">
      <c r="A321" s="461"/>
      <c r="B321" s="463"/>
      <c r="C321" s="463"/>
      <c r="D321" s="463"/>
      <c r="E321" s="463"/>
      <c r="F321" s="463"/>
      <c r="G321" s="463"/>
      <c r="H321" s="463"/>
      <c r="I321" s="463"/>
      <c r="J321" s="463"/>
      <c r="K321" s="463"/>
      <c r="L321" s="464"/>
    </row>
    <row r="322" spans="1:12">
      <c r="A322" s="461"/>
      <c r="B322" s="463"/>
      <c r="C322" s="463"/>
      <c r="D322" s="463"/>
      <c r="E322" s="463"/>
      <c r="F322" s="463"/>
      <c r="G322" s="463"/>
      <c r="H322" s="463"/>
      <c r="I322" s="463"/>
      <c r="J322" s="463"/>
      <c r="K322" s="463"/>
      <c r="L322" s="464"/>
    </row>
    <row r="323" spans="1:12">
      <c r="A323" s="461"/>
      <c r="B323" s="463"/>
      <c r="C323" s="463"/>
      <c r="D323" s="463"/>
      <c r="E323" s="463"/>
      <c r="F323" s="463"/>
      <c r="G323" s="463"/>
      <c r="H323" s="463"/>
      <c r="I323" s="463"/>
      <c r="J323" s="463"/>
      <c r="K323" s="463"/>
      <c r="L323" s="464"/>
    </row>
    <row r="324" spans="1:12">
      <c r="A324" s="461"/>
      <c r="B324" s="463"/>
      <c r="C324" s="463"/>
      <c r="D324" s="463"/>
      <c r="E324" s="463"/>
      <c r="F324" s="463"/>
      <c r="G324" s="463"/>
      <c r="H324" s="463"/>
      <c r="I324" s="463"/>
      <c r="J324" s="463"/>
      <c r="K324" s="463"/>
      <c r="L324" s="464"/>
    </row>
    <row r="325" spans="1:12">
      <c r="A325" s="461"/>
      <c r="B325" s="463"/>
      <c r="C325" s="463"/>
      <c r="D325" s="463"/>
      <c r="E325" s="463"/>
      <c r="F325" s="463"/>
      <c r="G325" s="463"/>
      <c r="H325" s="463"/>
      <c r="I325" s="463"/>
      <c r="J325" s="463"/>
      <c r="K325" s="463"/>
      <c r="L325" s="464"/>
    </row>
    <row r="326" spans="1:12">
      <c r="A326" s="461"/>
      <c r="B326" s="463"/>
      <c r="C326" s="463"/>
      <c r="D326" s="463"/>
      <c r="E326" s="463"/>
      <c r="F326" s="463"/>
      <c r="G326" s="463"/>
      <c r="H326" s="463"/>
      <c r="I326" s="463"/>
      <c r="J326" s="463"/>
      <c r="K326" s="463"/>
      <c r="L326" s="464"/>
    </row>
    <row r="327" spans="1:12">
      <c r="A327" s="461"/>
      <c r="B327" s="463"/>
      <c r="C327" s="463"/>
      <c r="D327" s="463"/>
      <c r="E327" s="463"/>
      <c r="F327" s="463"/>
      <c r="G327" s="463"/>
      <c r="H327" s="463"/>
      <c r="I327" s="463"/>
      <c r="J327" s="463"/>
      <c r="K327" s="463"/>
      <c r="L327" s="464"/>
    </row>
    <row r="328" spans="1:12">
      <c r="A328" s="461"/>
      <c r="B328" s="463"/>
      <c r="C328" s="463"/>
      <c r="D328" s="463"/>
      <c r="E328" s="463"/>
      <c r="F328" s="463"/>
      <c r="G328" s="463"/>
      <c r="H328" s="463"/>
      <c r="I328" s="463"/>
      <c r="J328" s="463"/>
      <c r="K328" s="463"/>
      <c r="L328" s="464"/>
    </row>
    <row r="329" spans="1:12">
      <c r="A329" s="461"/>
      <c r="B329" s="463"/>
      <c r="C329" s="463"/>
      <c r="D329" s="463"/>
      <c r="E329" s="463"/>
      <c r="F329" s="463"/>
      <c r="G329" s="463"/>
      <c r="H329" s="463"/>
      <c r="I329" s="463"/>
      <c r="J329" s="463"/>
      <c r="K329" s="463"/>
      <c r="L329" s="464"/>
    </row>
    <row r="330" spans="1:12">
      <c r="A330" s="461"/>
      <c r="B330" s="463"/>
      <c r="C330" s="463"/>
      <c r="D330" s="463"/>
      <c r="E330" s="463"/>
      <c r="F330" s="463"/>
      <c r="G330" s="463"/>
      <c r="H330" s="463"/>
      <c r="I330" s="463"/>
      <c r="J330" s="463"/>
      <c r="K330" s="463"/>
      <c r="L330" s="464"/>
    </row>
    <row r="331" spans="1:12">
      <c r="A331" s="461"/>
      <c r="B331" s="463"/>
      <c r="C331" s="463"/>
      <c r="D331" s="463"/>
      <c r="E331" s="463"/>
      <c r="F331" s="463"/>
      <c r="G331" s="463"/>
      <c r="H331" s="463"/>
      <c r="I331" s="463"/>
      <c r="J331" s="463"/>
      <c r="K331" s="463"/>
      <c r="L331" s="464"/>
    </row>
    <row r="332" spans="1:12">
      <c r="A332" s="461"/>
      <c r="B332" s="463"/>
      <c r="C332" s="463"/>
      <c r="D332" s="463"/>
      <c r="E332" s="463"/>
      <c r="F332" s="463"/>
      <c r="G332" s="463"/>
      <c r="H332" s="463"/>
      <c r="I332" s="463"/>
      <c r="J332" s="463"/>
      <c r="K332" s="463"/>
      <c r="L332" s="464"/>
    </row>
    <row r="333" spans="1:12">
      <c r="A333" s="461"/>
      <c r="B333" s="463"/>
      <c r="C333" s="463"/>
      <c r="D333" s="463"/>
      <c r="E333" s="463"/>
      <c r="F333" s="463"/>
      <c r="G333" s="463"/>
      <c r="H333" s="463"/>
      <c r="I333" s="463"/>
      <c r="J333" s="463"/>
      <c r="K333" s="463"/>
      <c r="L333" s="464"/>
    </row>
    <row r="334" spans="1:12">
      <c r="A334" s="461"/>
      <c r="B334" s="463"/>
      <c r="C334" s="463"/>
      <c r="D334" s="463"/>
      <c r="E334" s="463"/>
      <c r="F334" s="463"/>
      <c r="G334" s="463"/>
      <c r="H334" s="463"/>
      <c r="I334" s="463"/>
      <c r="J334" s="463"/>
      <c r="K334" s="463"/>
      <c r="L334" s="464"/>
    </row>
    <row r="335" spans="1:12">
      <c r="A335" s="461"/>
      <c r="B335" s="463"/>
      <c r="C335" s="463"/>
      <c r="D335" s="463"/>
      <c r="E335" s="463"/>
      <c r="F335" s="463"/>
      <c r="G335" s="463"/>
      <c r="H335" s="463"/>
      <c r="I335" s="463"/>
      <c r="J335" s="463"/>
      <c r="K335" s="463"/>
      <c r="L335" s="464"/>
    </row>
    <row r="336" spans="1:12">
      <c r="A336" s="461"/>
      <c r="B336" s="463"/>
      <c r="C336" s="463"/>
      <c r="D336" s="463"/>
      <c r="E336" s="463"/>
      <c r="F336" s="463"/>
      <c r="G336" s="463"/>
      <c r="H336" s="463"/>
      <c r="I336" s="463"/>
      <c r="J336" s="463"/>
      <c r="K336" s="463"/>
      <c r="L336" s="464"/>
    </row>
    <row r="337" spans="1:12">
      <c r="A337" s="461"/>
      <c r="B337" s="463"/>
      <c r="C337" s="463"/>
      <c r="D337" s="463"/>
      <c r="E337" s="463"/>
      <c r="F337" s="463"/>
      <c r="G337" s="463"/>
      <c r="H337" s="463"/>
      <c r="I337" s="463"/>
      <c r="J337" s="463"/>
      <c r="K337" s="463"/>
      <c r="L337" s="464"/>
    </row>
    <row r="338" spans="1:12">
      <c r="A338" s="461"/>
      <c r="B338" s="463"/>
      <c r="C338" s="463"/>
      <c r="D338" s="463"/>
      <c r="E338" s="463"/>
      <c r="F338" s="463"/>
      <c r="G338" s="463"/>
      <c r="H338" s="463"/>
      <c r="I338" s="463"/>
      <c r="J338" s="463"/>
      <c r="K338" s="463"/>
      <c r="L338" s="464"/>
    </row>
    <row r="339" spans="1:12">
      <c r="A339" s="461"/>
      <c r="B339" s="463"/>
      <c r="C339" s="463"/>
      <c r="D339" s="463"/>
      <c r="E339" s="463"/>
      <c r="F339" s="463"/>
      <c r="G339" s="463"/>
      <c r="H339" s="463"/>
      <c r="I339" s="463"/>
      <c r="J339" s="463"/>
      <c r="K339" s="463"/>
      <c r="L339" s="464"/>
    </row>
    <row r="340" spans="1:12">
      <c r="A340" s="465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7"/>
    </row>
    <row r="342" spans="1:12">
      <c r="A342" s="463"/>
      <c r="B342" s="463"/>
      <c r="D342" s="463"/>
      <c r="E342" s="463"/>
      <c r="F342" s="463"/>
      <c r="G342" s="463"/>
      <c r="H342" s="463"/>
      <c r="I342" s="463"/>
      <c r="L342" s="463"/>
    </row>
    <row r="343" spans="1:12" ht="15.75">
      <c r="A343" s="463"/>
      <c r="B343" s="463"/>
      <c r="D343" s="463"/>
      <c r="E343" s="462" t="s">
        <v>689</v>
      </c>
      <c r="F343" s="424"/>
      <c r="G343" s="424"/>
      <c r="H343" s="463"/>
      <c r="I343" s="463"/>
      <c r="L343" s="463"/>
    </row>
    <row r="344" spans="1:12" ht="30">
      <c r="A344" s="463"/>
      <c r="B344" s="463"/>
      <c r="D344" s="463"/>
      <c r="E344" s="463"/>
      <c r="F344" s="463"/>
      <c r="G344" s="455" t="s">
        <v>690</v>
      </c>
      <c r="H344" s="463"/>
      <c r="I344" s="424"/>
      <c r="L344" s="463"/>
    </row>
    <row r="345" spans="1:12" ht="31.5" customHeight="1">
      <c r="A345" s="463"/>
      <c r="B345" s="463"/>
      <c r="D345" s="463"/>
      <c r="E345" s="480" t="s">
        <v>694</v>
      </c>
      <c r="F345" s="481"/>
      <c r="G345" s="482">
        <v>2.4918</v>
      </c>
      <c r="H345" s="463"/>
      <c r="I345" s="424"/>
      <c r="L345" s="463"/>
    </row>
    <row r="346" spans="1:12">
      <c r="A346" s="463"/>
      <c r="B346" s="463"/>
      <c r="D346" s="463"/>
      <c r="E346" s="463"/>
      <c r="F346" s="463"/>
      <c r="G346" s="463"/>
      <c r="H346" s="463"/>
      <c r="I346" s="463"/>
      <c r="L346" s="463"/>
    </row>
    <row r="347" spans="1:12">
      <c r="A347" s="458"/>
      <c r="B347" s="459"/>
      <c r="C347" s="459"/>
      <c r="D347" s="459"/>
      <c r="E347" s="459"/>
      <c r="F347" s="459"/>
      <c r="G347" s="459"/>
      <c r="H347" s="459"/>
      <c r="I347" s="459"/>
      <c r="J347" s="459"/>
      <c r="K347" s="459"/>
      <c r="L347" s="460"/>
    </row>
    <row r="348" spans="1:12">
      <c r="A348" s="461"/>
      <c r="B348" s="463"/>
      <c r="C348" s="463"/>
      <c r="D348" s="463"/>
      <c r="E348" s="463"/>
      <c r="F348" s="463"/>
      <c r="G348" s="463"/>
      <c r="H348" s="463"/>
      <c r="I348" s="463"/>
      <c r="J348" s="463"/>
      <c r="K348" s="463"/>
      <c r="L348" s="464"/>
    </row>
    <row r="349" spans="1:12">
      <c r="A349" s="461"/>
      <c r="B349" s="463"/>
      <c r="C349" s="463"/>
      <c r="D349" s="463"/>
      <c r="E349" s="463"/>
      <c r="F349" s="463"/>
      <c r="G349" s="463"/>
      <c r="H349" s="463"/>
      <c r="I349" s="463"/>
      <c r="J349" s="463"/>
      <c r="K349" s="463"/>
      <c r="L349" s="464"/>
    </row>
    <row r="350" spans="1:12">
      <c r="A350" s="461"/>
      <c r="B350" s="463"/>
      <c r="C350" s="463"/>
      <c r="D350" s="463"/>
      <c r="E350" s="463"/>
      <c r="F350" s="463"/>
      <c r="G350" s="463"/>
      <c r="H350" s="463"/>
      <c r="I350" s="463"/>
      <c r="J350" s="463"/>
      <c r="K350" s="463"/>
      <c r="L350" s="464"/>
    </row>
    <row r="351" spans="1:12">
      <c r="A351" s="461"/>
      <c r="B351" s="463"/>
      <c r="C351" s="463"/>
      <c r="D351" s="463"/>
      <c r="E351" s="463"/>
      <c r="F351" s="463"/>
      <c r="G351" s="463"/>
      <c r="H351" s="463"/>
      <c r="I351" s="463"/>
      <c r="J351" s="463"/>
      <c r="K351" s="463"/>
      <c r="L351" s="464"/>
    </row>
    <row r="352" spans="1:12">
      <c r="A352" s="461"/>
      <c r="B352" s="463"/>
      <c r="C352" s="463"/>
      <c r="D352" s="463"/>
      <c r="E352" s="463"/>
      <c r="F352" s="463"/>
      <c r="G352" s="463"/>
      <c r="H352" s="463"/>
      <c r="I352" s="463"/>
      <c r="J352" s="463"/>
      <c r="K352" s="463"/>
      <c r="L352" s="464"/>
    </row>
    <row r="353" spans="1:12">
      <c r="A353" s="461"/>
      <c r="B353" s="463"/>
      <c r="C353" s="463"/>
      <c r="D353" s="463"/>
      <c r="E353" s="463"/>
      <c r="F353" s="463"/>
      <c r="G353" s="463"/>
      <c r="H353" s="463"/>
      <c r="I353" s="463"/>
      <c r="J353" s="463"/>
      <c r="K353" s="463"/>
      <c r="L353" s="464"/>
    </row>
    <row r="354" spans="1:12">
      <c r="A354" s="461"/>
      <c r="B354" s="463"/>
      <c r="C354" s="463"/>
      <c r="D354" s="463"/>
      <c r="E354" s="463"/>
      <c r="F354" s="463"/>
      <c r="G354" s="463"/>
      <c r="H354" s="463"/>
      <c r="I354" s="463"/>
      <c r="J354" s="463"/>
      <c r="K354" s="463"/>
      <c r="L354" s="464"/>
    </row>
    <row r="355" spans="1:12">
      <c r="A355" s="461"/>
      <c r="B355" s="463"/>
      <c r="C355" s="463"/>
      <c r="D355" s="463"/>
      <c r="E355" s="463"/>
      <c r="F355" s="463"/>
      <c r="G355" s="463"/>
      <c r="H355" s="463"/>
      <c r="I355" s="463"/>
      <c r="J355" s="463"/>
      <c r="K355" s="463"/>
      <c r="L355" s="464"/>
    </row>
    <row r="356" spans="1:12">
      <c r="A356" s="461"/>
      <c r="B356" s="463"/>
      <c r="C356" s="463"/>
      <c r="D356" s="463"/>
      <c r="E356" s="463"/>
      <c r="F356" s="463"/>
      <c r="G356" s="463"/>
      <c r="H356" s="463"/>
      <c r="I356" s="463"/>
      <c r="J356" s="463"/>
      <c r="K356" s="463"/>
      <c r="L356" s="464"/>
    </row>
    <row r="357" spans="1:12">
      <c r="A357" s="461"/>
      <c r="B357" s="463"/>
      <c r="C357" s="463"/>
      <c r="D357" s="463"/>
      <c r="E357" s="463"/>
      <c r="F357" s="463"/>
      <c r="G357" s="463"/>
      <c r="H357" s="463"/>
      <c r="I357" s="463"/>
      <c r="J357" s="463"/>
      <c r="K357" s="463"/>
      <c r="L357" s="464"/>
    </row>
    <row r="358" spans="1:12">
      <c r="A358" s="461"/>
      <c r="B358" s="463"/>
      <c r="C358" s="463"/>
      <c r="D358" s="463"/>
      <c r="E358" s="463"/>
      <c r="F358" s="463"/>
      <c r="G358" s="463"/>
      <c r="H358" s="463"/>
      <c r="I358" s="463"/>
      <c r="J358" s="463"/>
      <c r="K358" s="463"/>
      <c r="L358" s="464"/>
    </row>
    <row r="359" spans="1:12">
      <c r="A359" s="461"/>
      <c r="B359" s="463"/>
      <c r="C359" s="463"/>
      <c r="D359" s="463"/>
      <c r="E359" s="463"/>
      <c r="F359" s="463"/>
      <c r="G359" s="463"/>
      <c r="H359" s="463"/>
      <c r="I359" s="463"/>
      <c r="J359" s="463"/>
      <c r="K359" s="463"/>
      <c r="L359" s="464"/>
    </row>
    <row r="360" spans="1:12">
      <c r="A360" s="461"/>
      <c r="B360" s="463"/>
      <c r="C360" s="463"/>
      <c r="D360" s="463"/>
      <c r="E360" s="463"/>
      <c r="F360" s="463"/>
      <c r="G360" s="463"/>
      <c r="H360" s="463"/>
      <c r="I360" s="463"/>
      <c r="J360" s="463"/>
      <c r="K360" s="463"/>
      <c r="L360" s="464"/>
    </row>
    <row r="361" spans="1:12">
      <c r="A361" s="461"/>
      <c r="B361" s="463"/>
      <c r="C361" s="463"/>
      <c r="D361" s="463"/>
      <c r="E361" s="463"/>
      <c r="F361" s="463"/>
      <c r="G361" s="463"/>
      <c r="H361" s="463"/>
      <c r="I361" s="463"/>
      <c r="J361" s="463"/>
      <c r="K361" s="463"/>
      <c r="L361" s="464"/>
    </row>
    <row r="362" spans="1:12">
      <c r="A362" s="461"/>
      <c r="B362" s="463"/>
      <c r="C362" s="463"/>
      <c r="D362" s="463"/>
      <c r="E362" s="463"/>
      <c r="F362" s="463"/>
      <c r="G362" s="463"/>
      <c r="H362" s="463"/>
      <c r="I362" s="463"/>
      <c r="J362" s="463"/>
      <c r="K362" s="463"/>
      <c r="L362" s="464"/>
    </row>
    <row r="363" spans="1:12">
      <c r="A363" s="461"/>
      <c r="B363" s="463"/>
      <c r="C363" s="463"/>
      <c r="D363" s="463"/>
      <c r="E363" s="463"/>
      <c r="F363" s="463"/>
      <c r="G363" s="463"/>
      <c r="H363" s="463"/>
      <c r="I363" s="463"/>
      <c r="J363" s="463"/>
      <c r="K363" s="463"/>
      <c r="L363" s="464"/>
    </row>
    <row r="364" spans="1:12">
      <c r="A364" s="461"/>
      <c r="B364" s="463"/>
      <c r="C364" s="463"/>
      <c r="D364" s="463"/>
      <c r="E364" s="463"/>
      <c r="F364" s="463"/>
      <c r="G364" s="463"/>
      <c r="H364" s="463"/>
      <c r="I364" s="463"/>
      <c r="J364" s="463"/>
      <c r="K364" s="463"/>
      <c r="L364" s="464"/>
    </row>
    <row r="365" spans="1:12">
      <c r="A365" s="461"/>
      <c r="B365" s="463"/>
      <c r="C365" s="463"/>
      <c r="D365" s="463"/>
      <c r="E365" s="463"/>
      <c r="F365" s="463"/>
      <c r="G365" s="463"/>
      <c r="H365" s="463"/>
      <c r="I365" s="463"/>
      <c r="J365" s="463"/>
      <c r="K365" s="463"/>
      <c r="L365" s="464"/>
    </row>
    <row r="366" spans="1:12">
      <c r="A366" s="461"/>
      <c r="B366" s="463"/>
      <c r="C366" s="463"/>
      <c r="D366" s="463"/>
      <c r="E366" s="463"/>
      <c r="F366" s="463"/>
      <c r="G366" s="463"/>
      <c r="H366" s="463"/>
      <c r="I366" s="463"/>
      <c r="J366" s="463"/>
      <c r="K366" s="463"/>
      <c r="L366" s="464"/>
    </row>
    <row r="367" spans="1:12">
      <c r="A367" s="461"/>
      <c r="B367" s="463"/>
      <c r="C367" s="463"/>
      <c r="D367" s="463"/>
      <c r="E367" s="463"/>
      <c r="F367" s="463"/>
      <c r="G367" s="463"/>
      <c r="H367" s="463"/>
      <c r="I367" s="463"/>
      <c r="J367" s="463"/>
      <c r="K367" s="463"/>
      <c r="L367" s="464"/>
    </row>
    <row r="368" spans="1:12">
      <c r="A368" s="461"/>
      <c r="B368" s="463"/>
      <c r="C368" s="463"/>
      <c r="D368" s="463"/>
      <c r="E368" s="463"/>
      <c r="F368" s="463"/>
      <c r="G368" s="463"/>
      <c r="H368" s="463"/>
      <c r="I368" s="463"/>
      <c r="J368" s="463"/>
      <c r="K368" s="463"/>
      <c r="L368" s="464"/>
    </row>
    <row r="369" spans="1:12">
      <c r="A369" s="461"/>
      <c r="B369" s="463"/>
      <c r="C369" s="463"/>
      <c r="D369" s="463"/>
      <c r="E369" s="463"/>
      <c r="F369" s="463"/>
      <c r="G369" s="463"/>
      <c r="H369" s="463"/>
      <c r="I369" s="463"/>
      <c r="J369" s="463"/>
      <c r="K369" s="463"/>
      <c r="L369" s="464"/>
    </row>
    <row r="370" spans="1:12">
      <c r="A370" s="461"/>
      <c r="B370" s="463"/>
      <c r="C370" s="463"/>
      <c r="D370" s="463"/>
      <c r="E370" s="463"/>
      <c r="F370" s="463"/>
      <c r="G370" s="463"/>
      <c r="H370" s="463"/>
      <c r="I370" s="463"/>
      <c r="J370" s="463"/>
      <c r="K370" s="463"/>
      <c r="L370" s="464"/>
    </row>
    <row r="371" spans="1:12">
      <c r="A371" s="461"/>
      <c r="B371" s="463"/>
      <c r="C371" s="463"/>
      <c r="D371" s="463"/>
      <c r="E371" s="463"/>
      <c r="F371" s="463"/>
      <c r="G371" s="463"/>
      <c r="H371" s="463"/>
      <c r="I371" s="463"/>
      <c r="J371" s="463"/>
      <c r="K371" s="463"/>
      <c r="L371" s="464"/>
    </row>
    <row r="372" spans="1:12">
      <c r="A372" s="461"/>
      <c r="B372" s="463"/>
      <c r="C372" s="463"/>
      <c r="D372" s="463"/>
      <c r="E372" s="463"/>
      <c r="F372" s="463"/>
      <c r="G372" s="463"/>
      <c r="H372" s="463"/>
      <c r="I372" s="463"/>
      <c r="J372" s="463"/>
      <c r="K372" s="463"/>
      <c r="L372" s="464"/>
    </row>
    <row r="373" spans="1:12">
      <c r="A373" s="461"/>
      <c r="B373" s="463"/>
      <c r="C373" s="463"/>
      <c r="D373" s="463"/>
      <c r="E373" s="463"/>
      <c r="F373" s="463"/>
      <c r="G373" s="463"/>
      <c r="H373" s="463"/>
      <c r="I373" s="463"/>
      <c r="J373" s="463"/>
      <c r="K373" s="463"/>
      <c r="L373" s="464"/>
    </row>
    <row r="374" spans="1:12">
      <c r="A374" s="461"/>
      <c r="B374" s="463"/>
      <c r="C374" s="463"/>
      <c r="D374" s="463"/>
      <c r="E374" s="463"/>
      <c r="F374" s="463"/>
      <c r="G374" s="463"/>
      <c r="H374" s="463"/>
      <c r="I374" s="463"/>
      <c r="J374" s="463"/>
      <c r="K374" s="463"/>
      <c r="L374" s="464"/>
    </row>
    <row r="375" spans="1:12">
      <c r="A375" s="461"/>
      <c r="B375" s="463"/>
      <c r="C375" s="463"/>
      <c r="D375" s="463"/>
      <c r="E375" s="463"/>
      <c r="F375" s="463"/>
      <c r="G375" s="463"/>
      <c r="H375" s="463"/>
      <c r="I375" s="463"/>
      <c r="J375" s="463"/>
      <c r="K375" s="463"/>
      <c r="L375" s="464"/>
    </row>
    <row r="376" spans="1:12">
      <c r="A376" s="461"/>
      <c r="B376" s="463"/>
      <c r="C376" s="463"/>
      <c r="D376" s="463"/>
      <c r="E376" s="463"/>
      <c r="F376" s="463"/>
      <c r="G376" s="463"/>
      <c r="H376" s="463"/>
      <c r="I376" s="463"/>
      <c r="J376" s="463"/>
      <c r="K376" s="463"/>
      <c r="L376" s="464"/>
    </row>
    <row r="377" spans="1:12">
      <c r="A377" s="461"/>
      <c r="B377" s="463"/>
      <c r="C377" s="463"/>
      <c r="D377" s="463"/>
      <c r="E377" s="463"/>
      <c r="F377" s="463"/>
      <c r="G377" s="463"/>
      <c r="H377" s="463"/>
      <c r="I377" s="463"/>
      <c r="J377" s="463"/>
      <c r="K377" s="463"/>
      <c r="L377" s="464"/>
    </row>
    <row r="378" spans="1:12">
      <c r="A378" s="461"/>
      <c r="B378" s="463"/>
      <c r="C378" s="463"/>
      <c r="D378" s="463"/>
      <c r="E378" s="463"/>
      <c r="F378" s="463"/>
      <c r="G378" s="463"/>
      <c r="H378" s="463"/>
      <c r="I378" s="463"/>
      <c r="J378" s="463"/>
      <c r="K378" s="463"/>
      <c r="L378" s="464"/>
    </row>
    <row r="379" spans="1:12">
      <c r="A379" s="461"/>
      <c r="B379" s="463"/>
      <c r="C379" s="463"/>
      <c r="D379" s="463"/>
      <c r="E379" s="463"/>
      <c r="F379" s="463"/>
      <c r="G379" s="463"/>
      <c r="H379" s="463"/>
      <c r="I379" s="463"/>
      <c r="J379" s="463"/>
      <c r="K379" s="463"/>
      <c r="L379" s="464"/>
    </row>
    <row r="380" spans="1:12">
      <c r="A380" s="461"/>
      <c r="B380" s="463"/>
      <c r="C380" s="463"/>
      <c r="D380" s="463"/>
      <c r="E380" s="463"/>
      <c r="F380" s="463"/>
      <c r="G380" s="463"/>
      <c r="H380" s="463"/>
      <c r="I380" s="463"/>
      <c r="J380" s="463"/>
      <c r="K380" s="463"/>
      <c r="L380" s="464"/>
    </row>
    <row r="381" spans="1:12">
      <c r="A381" s="461"/>
      <c r="B381" s="463"/>
      <c r="C381" s="463"/>
      <c r="D381" s="463"/>
      <c r="E381" s="463"/>
      <c r="F381" s="463"/>
      <c r="G381" s="463"/>
      <c r="H381" s="463"/>
      <c r="I381" s="463"/>
      <c r="J381" s="463"/>
      <c r="K381" s="463"/>
      <c r="L381" s="464"/>
    </row>
    <row r="382" spans="1:12">
      <c r="A382" s="461"/>
      <c r="B382" s="463"/>
      <c r="C382" s="463"/>
      <c r="D382" s="463"/>
      <c r="E382" s="463"/>
      <c r="F382" s="463"/>
      <c r="G382" s="463"/>
      <c r="H382" s="463"/>
      <c r="I382" s="463"/>
      <c r="J382" s="463"/>
      <c r="K382" s="463"/>
      <c r="L382" s="464"/>
    </row>
    <row r="383" spans="1:12">
      <c r="A383" s="461"/>
      <c r="B383" s="463"/>
      <c r="C383" s="463"/>
      <c r="D383" s="463"/>
      <c r="E383" s="463"/>
      <c r="F383" s="463"/>
      <c r="G383" s="463"/>
      <c r="H383" s="463"/>
      <c r="I383" s="463"/>
      <c r="J383" s="463"/>
      <c r="K383" s="463"/>
      <c r="L383" s="464"/>
    </row>
    <row r="384" spans="1:12">
      <c r="A384" s="461"/>
      <c r="B384" s="463"/>
      <c r="C384" s="463"/>
      <c r="D384" s="463"/>
      <c r="E384" s="463"/>
      <c r="F384" s="463"/>
      <c r="G384" s="463"/>
      <c r="H384" s="463"/>
      <c r="I384" s="463"/>
      <c r="J384" s="463"/>
      <c r="K384" s="463"/>
      <c r="L384" s="464"/>
    </row>
    <row r="385" spans="1:12">
      <c r="A385" s="461"/>
      <c r="B385" s="463"/>
      <c r="C385" s="463"/>
      <c r="D385" s="463"/>
      <c r="E385" s="463"/>
      <c r="F385" s="463"/>
      <c r="G385" s="463"/>
      <c r="H385" s="463"/>
      <c r="I385" s="463"/>
      <c r="J385" s="463"/>
      <c r="K385" s="463"/>
      <c r="L385" s="464"/>
    </row>
    <row r="386" spans="1:12">
      <c r="A386" s="461"/>
      <c r="B386" s="463"/>
      <c r="C386" s="463"/>
      <c r="D386" s="463"/>
      <c r="E386" s="463"/>
      <c r="F386" s="463"/>
      <c r="G386" s="463"/>
      <c r="H386" s="463"/>
      <c r="I386" s="463"/>
      <c r="J386" s="463"/>
      <c r="K386" s="463"/>
      <c r="L386" s="464"/>
    </row>
    <row r="387" spans="1:12">
      <c r="A387" s="461"/>
      <c r="B387" s="463"/>
      <c r="C387" s="463"/>
      <c r="D387" s="463"/>
      <c r="E387" s="463"/>
      <c r="F387" s="463"/>
      <c r="G387" s="463"/>
      <c r="H387" s="463"/>
      <c r="I387" s="463"/>
      <c r="J387" s="463"/>
      <c r="K387" s="463"/>
      <c r="L387" s="464"/>
    </row>
    <row r="388" spans="1:12">
      <c r="A388" s="461"/>
      <c r="B388" s="463"/>
      <c r="C388" s="463"/>
      <c r="D388" s="463"/>
      <c r="E388" s="463"/>
      <c r="F388" s="463"/>
      <c r="G388" s="463"/>
      <c r="H388" s="463"/>
      <c r="I388" s="463"/>
      <c r="J388" s="463"/>
      <c r="K388" s="463"/>
      <c r="L388" s="464"/>
    </row>
    <row r="389" spans="1:12">
      <c r="A389" s="461"/>
      <c r="B389" s="463"/>
      <c r="C389" s="463"/>
      <c r="D389" s="463"/>
      <c r="E389" s="463"/>
      <c r="F389" s="463"/>
      <c r="G389" s="463"/>
      <c r="H389" s="463"/>
      <c r="I389" s="463"/>
      <c r="J389" s="463"/>
      <c r="K389" s="463"/>
      <c r="L389" s="464"/>
    </row>
    <row r="390" spans="1:12">
      <c r="A390" s="461"/>
      <c r="B390" s="463"/>
      <c r="C390" s="463"/>
      <c r="D390" s="463"/>
      <c r="E390" s="463"/>
      <c r="F390" s="463"/>
      <c r="G390" s="463"/>
      <c r="H390" s="463"/>
      <c r="I390" s="463"/>
      <c r="J390" s="463"/>
      <c r="K390" s="463"/>
      <c r="L390" s="464"/>
    </row>
    <row r="391" spans="1:12">
      <c r="A391" s="465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7"/>
    </row>
  </sheetData>
  <phoneticPr fontId="12" type="noConversion"/>
  <hyperlinks>
    <hyperlink ref="D18" r:id="rId1"/>
    <hyperlink ref="D196" r:id="rId2"/>
  </hyperlinks>
  <printOptions horizontalCentered="1"/>
  <pageMargins left="0.78740157480314965" right="0.78740157480314965" top="0.70866141732283472" bottom="0.70866141732283472" header="0" footer="0"/>
  <pageSetup paperSize="9" scale="44" fitToHeight="4" orientation="portrait" r:id="rId3"/>
  <headerFooter alignWithMargins="0"/>
  <rowBreaks count="3" manualBreakCount="3">
    <brk id="97" max="11" man="1"/>
    <brk id="193" max="11" man="1"/>
    <brk id="290" max="11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165"/>
  <sheetViews>
    <sheetView showGridLines="0" zoomScaleNormal="100" zoomScaleSheetLayoutView="80" workbookViewId="0"/>
  </sheetViews>
  <sheetFormatPr baseColWidth="10" defaultColWidth="8.88671875" defaultRowHeight="12.75"/>
  <cols>
    <col min="1" max="1" width="8" style="31" customWidth="1"/>
    <col min="2" max="2" width="14.33203125" style="31" customWidth="1"/>
    <col min="3" max="3" width="15.109375" style="31" customWidth="1"/>
    <col min="4" max="4" width="11" style="31" bestFit="1" customWidth="1"/>
    <col min="5" max="5" width="13.6640625" style="31" customWidth="1"/>
    <col min="6" max="6" width="10.6640625" style="31" customWidth="1"/>
    <col min="7" max="9" width="12.6640625" style="31" bestFit="1" customWidth="1"/>
    <col min="10" max="10" width="11.109375" style="31" customWidth="1"/>
    <col min="11" max="12" width="12.6640625" style="31" bestFit="1" customWidth="1"/>
    <col min="13" max="16384" width="8.88671875" style="31"/>
  </cols>
  <sheetData>
    <row r="1" spans="1:13" ht="23.25">
      <c r="A1" s="188" t="s">
        <v>657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3" s="177" customFormat="1" ht="15">
      <c r="A2" s="185"/>
      <c r="B2" s="185"/>
    </row>
    <row r="3" spans="1:13" s="177" customFormat="1" ht="20.25">
      <c r="A3" s="395" t="str">
        <f>+CONCATENATE("Actualizado al ",TEXT(Historico!O5,"dd/mmmm/yyyy"))</f>
        <v>Actualizado al 04/diciembre/2012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</row>
    <row r="6" spans="1:13" ht="23.25">
      <c r="B6" s="511" t="s">
        <v>639</v>
      </c>
      <c r="J6" s="25"/>
      <c r="K6" s="25"/>
      <c r="L6" s="25"/>
    </row>
    <row r="7" spans="1:13" s="401" customFormat="1" ht="15">
      <c r="J7" s="68"/>
      <c r="K7" s="68"/>
      <c r="L7" s="68"/>
    </row>
    <row r="8" spans="1:13" s="401" customFormat="1" ht="15">
      <c r="B8" s="684" t="s">
        <v>291</v>
      </c>
      <c r="J8" s="68"/>
      <c r="K8" s="68"/>
      <c r="L8" s="68"/>
    </row>
    <row r="9" spans="1:13" s="401" customFormat="1" ht="15">
      <c r="J9" s="68"/>
      <c r="K9" s="68"/>
      <c r="L9" s="68"/>
    </row>
    <row r="10" spans="1:13" s="401" customFormat="1" ht="15.75">
      <c r="B10" s="398"/>
      <c r="C10" s="399" t="s">
        <v>149</v>
      </c>
      <c r="D10" s="399" t="s">
        <v>575</v>
      </c>
      <c r="E10" s="399" t="s">
        <v>104</v>
      </c>
    </row>
    <row r="11" spans="1:13" s="401" customFormat="1" ht="18.75" customHeight="1">
      <c r="B11" s="421" t="s">
        <v>454</v>
      </c>
      <c r="C11" s="422" t="s">
        <v>99</v>
      </c>
      <c r="D11" s="537">
        <v>0</v>
      </c>
      <c r="E11" s="422">
        <v>8471300000</v>
      </c>
    </row>
    <row r="12" spans="1:13" s="401" customFormat="1" ht="18.75" customHeight="1">
      <c r="B12" s="421" t="s">
        <v>455</v>
      </c>
      <c r="C12" s="422" t="s">
        <v>150</v>
      </c>
      <c r="D12" s="537">
        <v>0</v>
      </c>
      <c r="E12" s="422">
        <v>8504219000</v>
      </c>
    </row>
    <row r="13" spans="1:13" s="401" customFormat="1" ht="18.75" customHeight="1">
      <c r="B13" s="421" t="s">
        <v>456</v>
      </c>
      <c r="C13" s="422" t="s">
        <v>100</v>
      </c>
      <c r="D13" s="537">
        <v>0</v>
      </c>
      <c r="E13" s="422">
        <v>8517110000</v>
      </c>
    </row>
    <row r="14" spans="1:13" s="401" customFormat="1" ht="18.75" customHeight="1">
      <c r="B14" s="421" t="s">
        <v>461</v>
      </c>
      <c r="C14" s="422" t="s">
        <v>101</v>
      </c>
      <c r="D14" s="537">
        <v>0</v>
      </c>
      <c r="E14" s="422">
        <v>8535300000</v>
      </c>
    </row>
    <row r="15" spans="1:13" s="401" customFormat="1" ht="18.75" customHeight="1">
      <c r="B15" s="421" t="s">
        <v>457</v>
      </c>
      <c r="C15" s="422" t="s">
        <v>102</v>
      </c>
      <c r="D15" s="537">
        <v>0.06</v>
      </c>
      <c r="E15" s="422">
        <v>8539320000</v>
      </c>
    </row>
    <row r="16" spans="1:13" s="401" customFormat="1" ht="18.75" customHeight="1">
      <c r="B16" s="421" t="s">
        <v>458</v>
      </c>
      <c r="C16" s="422" t="s">
        <v>151</v>
      </c>
      <c r="D16" s="537">
        <v>0</v>
      </c>
      <c r="E16" s="422">
        <v>8704211010</v>
      </c>
      <c r="M16" s="402"/>
    </row>
    <row r="17" spans="1:13" s="401" customFormat="1" ht="18.75" customHeight="1">
      <c r="B17" s="421" t="s">
        <v>459</v>
      </c>
      <c r="C17" s="422" t="s">
        <v>103</v>
      </c>
      <c r="D17" s="537">
        <v>0</v>
      </c>
      <c r="E17" s="422">
        <v>9028301000</v>
      </c>
      <c r="M17" s="402"/>
    </row>
    <row r="18" spans="1:13" s="401" customFormat="1" ht="18.75" customHeight="1">
      <c r="B18" s="421" t="s">
        <v>450</v>
      </c>
      <c r="C18" s="422" t="s">
        <v>305</v>
      </c>
      <c r="D18" s="537">
        <v>0</v>
      </c>
      <c r="E18" s="422">
        <v>7413000000</v>
      </c>
      <c r="M18" s="402"/>
    </row>
    <row r="19" spans="1:13" s="401" customFormat="1" ht="18.75" customHeight="1">
      <c r="B19" s="421" t="s">
        <v>451</v>
      </c>
      <c r="C19" s="422" t="s">
        <v>306</v>
      </c>
      <c r="D19" s="537">
        <v>0</v>
      </c>
      <c r="E19" s="422">
        <v>7614900000</v>
      </c>
      <c r="M19" s="402"/>
    </row>
    <row r="20" spans="1:13" s="401" customFormat="1" ht="18.75" customHeight="1">
      <c r="B20" s="421" t="s">
        <v>460</v>
      </c>
      <c r="C20" s="422" t="s">
        <v>453</v>
      </c>
      <c r="D20" s="537">
        <v>0</v>
      </c>
      <c r="E20" s="422">
        <v>9028309000</v>
      </c>
      <c r="M20" s="402"/>
    </row>
    <row r="21" spans="1:13" s="401" customFormat="1" ht="18.75" customHeight="1">
      <c r="B21" s="400" t="s">
        <v>462</v>
      </c>
      <c r="C21" s="69" t="s">
        <v>101</v>
      </c>
      <c r="D21" s="538">
        <f>D14</f>
        <v>0</v>
      </c>
      <c r="E21" s="69">
        <v>8535300000</v>
      </c>
      <c r="M21" s="402"/>
    </row>
    <row r="22" spans="1:13" s="401" customFormat="1" ht="18.75" customHeight="1">
      <c r="L22" s="403"/>
    </row>
    <row r="23" spans="1:13" ht="20.25">
      <c r="A23" s="515" t="str">
        <f>+CONCATENATE("Partida ",B11,": ",C11)</f>
        <v>Partida (1) VAD: 8471.30.00.00</v>
      </c>
      <c r="B23" s="513"/>
      <c r="C23" s="514"/>
      <c r="D23" s="512"/>
      <c r="E23" s="512"/>
      <c r="F23" s="512"/>
      <c r="G23" s="515" t="str">
        <f>+CONCATENATE("Partida ",B12,": ",C12)</f>
        <v>Partida (2) VAD: 8504.21.90.00</v>
      </c>
      <c r="H23" s="513"/>
      <c r="I23" s="514"/>
      <c r="J23" s="512"/>
      <c r="K23" s="512"/>
      <c r="L23" s="512"/>
    </row>
    <row r="24" spans="1:13" ht="21" customHeight="1">
      <c r="A24" s="412"/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</row>
    <row r="25" spans="1:13" ht="20.25">
      <c r="A25" s="412"/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</row>
    <row r="26" spans="1:13" ht="20.25">
      <c r="A26" s="412"/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</row>
    <row r="27" spans="1:13" ht="20.25">
      <c r="A27" s="412"/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</row>
    <row r="28" spans="1:13" ht="20.25">
      <c r="A28" s="412"/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</row>
    <row r="29" spans="1:13" ht="20.25">
      <c r="A29" s="412"/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</row>
    <row r="30" spans="1:13" ht="20.25">
      <c r="A30" s="412"/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</row>
    <row r="31" spans="1:13" ht="20.25">
      <c r="A31" s="414"/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</row>
    <row r="32" spans="1:13" ht="20.25">
      <c r="A32" s="414"/>
      <c r="B32" s="413"/>
      <c r="C32" s="413"/>
      <c r="D32" s="413"/>
      <c r="E32" s="413"/>
      <c r="F32" s="413"/>
      <c r="G32" s="413"/>
      <c r="H32" s="413"/>
      <c r="I32" s="413"/>
      <c r="J32" s="413"/>
      <c r="K32" s="413"/>
      <c r="L32" s="413"/>
    </row>
    <row r="33" spans="1:12" ht="20.25">
      <c r="A33" s="414"/>
      <c r="B33" s="413"/>
      <c r="C33" s="413"/>
      <c r="D33" s="413"/>
      <c r="E33" s="413"/>
      <c r="F33" s="413"/>
      <c r="G33" s="413"/>
      <c r="H33" s="413"/>
      <c r="I33" s="415"/>
      <c r="J33" s="413"/>
      <c r="K33" s="413"/>
      <c r="L33" s="413"/>
    </row>
    <row r="34" spans="1:12" ht="20.25">
      <c r="A34" s="414"/>
      <c r="B34" s="413"/>
      <c r="C34" s="413"/>
      <c r="D34" s="413"/>
      <c r="E34" s="413"/>
      <c r="F34" s="413"/>
      <c r="G34" s="413"/>
      <c r="H34" s="413"/>
      <c r="I34" s="415"/>
      <c r="J34" s="413"/>
      <c r="K34" s="413"/>
      <c r="L34" s="413"/>
    </row>
    <row r="35" spans="1:12" ht="20.25">
      <c r="A35" s="414"/>
      <c r="B35" s="413"/>
      <c r="C35" s="413"/>
      <c r="D35" s="413"/>
      <c r="E35" s="413"/>
      <c r="F35" s="413"/>
      <c r="G35" s="413"/>
      <c r="H35" s="413"/>
      <c r="I35" s="413"/>
      <c r="J35" s="413"/>
      <c r="K35" s="413"/>
      <c r="L35" s="413"/>
    </row>
    <row r="36" spans="1:12" ht="20.25">
      <c r="A36" s="414"/>
      <c r="B36" s="413"/>
      <c r="C36" s="413"/>
      <c r="D36" s="413"/>
      <c r="E36" s="413"/>
      <c r="F36" s="413"/>
      <c r="G36" s="413"/>
      <c r="H36" s="413"/>
      <c r="I36" s="413"/>
      <c r="J36" s="413"/>
      <c r="K36" s="413"/>
      <c r="L36" s="413"/>
    </row>
    <row r="37" spans="1:12" ht="20.25">
      <c r="A37" s="414"/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</row>
    <row r="38" spans="1:12" ht="20.25">
      <c r="A38" s="414"/>
      <c r="B38" s="413"/>
      <c r="C38" s="413"/>
      <c r="D38" s="413"/>
      <c r="E38" s="413"/>
      <c r="F38" s="413"/>
      <c r="G38" s="413"/>
      <c r="H38" s="413"/>
      <c r="I38" s="413"/>
      <c r="J38" s="413"/>
      <c r="K38" s="413"/>
      <c r="L38" s="413"/>
    </row>
    <row r="39" spans="1:12" ht="20.25">
      <c r="A39" s="414"/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</row>
    <row r="40" spans="1:12" ht="20.25">
      <c r="A40" s="414"/>
      <c r="B40" s="413"/>
      <c r="C40" s="413"/>
      <c r="D40" s="413"/>
      <c r="E40" s="413"/>
      <c r="F40" s="413"/>
      <c r="G40" s="413"/>
      <c r="H40" s="413"/>
      <c r="I40" s="413"/>
      <c r="J40" s="413"/>
      <c r="K40" s="413"/>
      <c r="L40" s="413"/>
    </row>
    <row r="41" spans="1:12" ht="20.25">
      <c r="A41" s="515" t="str">
        <f>+CONCATENATE("Partida ",B13,": ",C13)</f>
        <v>Partida (3) VAD: 8517.11.00.00</v>
      </c>
      <c r="B41" s="513"/>
      <c r="C41" s="514"/>
      <c r="D41" s="512"/>
      <c r="E41" s="512"/>
      <c r="F41" s="512"/>
      <c r="G41" s="515" t="str">
        <f>+CONCATENATE("Partida ",B14,": ",C14)</f>
        <v>Partida (4) VAD: 8535.30.00.00</v>
      </c>
      <c r="H41" s="513"/>
      <c r="I41" s="514"/>
      <c r="J41" s="512"/>
      <c r="K41" s="512"/>
      <c r="L41" s="512"/>
    </row>
    <row r="42" spans="1:12" ht="20.25">
      <c r="A42" s="413"/>
      <c r="B42" s="413"/>
      <c r="C42" s="413"/>
      <c r="D42" s="413"/>
      <c r="E42" s="413"/>
      <c r="F42" s="413"/>
      <c r="G42" s="414"/>
      <c r="H42" s="413"/>
      <c r="I42" s="413"/>
      <c r="J42" s="413"/>
      <c r="K42" s="413"/>
      <c r="L42" s="413"/>
    </row>
    <row r="43" spans="1:12" ht="20.25">
      <c r="A43" s="413"/>
      <c r="B43" s="413"/>
      <c r="C43" s="413"/>
      <c r="D43" s="413"/>
      <c r="E43" s="413"/>
      <c r="F43" s="413"/>
      <c r="G43" s="414"/>
      <c r="H43" s="413"/>
      <c r="I43" s="413"/>
      <c r="J43" s="413"/>
      <c r="K43" s="413"/>
      <c r="L43" s="413"/>
    </row>
    <row r="44" spans="1:12" ht="20.25">
      <c r="A44" s="413"/>
      <c r="B44" s="413"/>
      <c r="C44" s="413"/>
      <c r="D44" s="413"/>
      <c r="E44" s="413"/>
      <c r="F44" s="413"/>
      <c r="G44" s="414"/>
      <c r="H44" s="413"/>
      <c r="I44" s="413"/>
      <c r="J44" s="413"/>
      <c r="K44" s="413"/>
      <c r="L44" s="413"/>
    </row>
    <row r="45" spans="1:12" ht="20.25">
      <c r="A45" s="413"/>
      <c r="B45" s="413"/>
      <c r="C45" s="413"/>
      <c r="D45" s="413"/>
      <c r="E45" s="413"/>
      <c r="F45" s="413"/>
      <c r="G45" s="414"/>
      <c r="H45" s="413"/>
      <c r="I45" s="413"/>
      <c r="J45" s="413"/>
      <c r="K45" s="413"/>
      <c r="L45" s="413"/>
    </row>
    <row r="46" spans="1:12" ht="20.25">
      <c r="A46" s="413"/>
      <c r="B46" s="413"/>
      <c r="C46" s="413"/>
      <c r="D46" s="413"/>
      <c r="E46" s="413"/>
      <c r="F46" s="413"/>
      <c r="G46" s="414"/>
      <c r="H46" s="413"/>
      <c r="I46" s="413"/>
      <c r="J46" s="413"/>
      <c r="K46" s="413"/>
      <c r="L46" s="413"/>
    </row>
    <row r="47" spans="1:12" ht="20.25">
      <c r="A47" s="413"/>
      <c r="B47" s="413"/>
      <c r="C47" s="413"/>
      <c r="D47" s="413"/>
      <c r="E47" s="413"/>
      <c r="F47" s="413"/>
      <c r="G47" s="414"/>
      <c r="H47" s="413"/>
      <c r="I47" s="413"/>
      <c r="J47" s="413"/>
      <c r="K47" s="413"/>
      <c r="L47" s="413"/>
    </row>
    <row r="48" spans="1:12" ht="20.25">
      <c r="A48" s="413"/>
      <c r="B48" s="413"/>
      <c r="C48" s="413"/>
      <c r="D48" s="413"/>
      <c r="E48" s="413"/>
      <c r="F48" s="413"/>
      <c r="G48" s="414"/>
      <c r="H48" s="413"/>
      <c r="I48" s="413"/>
      <c r="J48" s="413"/>
      <c r="K48" s="413"/>
      <c r="L48" s="413"/>
    </row>
    <row r="49" spans="1:12" ht="20.25">
      <c r="A49" s="413"/>
      <c r="B49" s="413"/>
      <c r="C49" s="413"/>
      <c r="D49" s="413"/>
      <c r="E49" s="413"/>
      <c r="F49" s="413"/>
      <c r="G49" s="414"/>
      <c r="H49" s="413"/>
      <c r="I49" s="413"/>
      <c r="J49" s="413"/>
      <c r="K49" s="413"/>
      <c r="L49" s="413"/>
    </row>
    <row r="50" spans="1:12" ht="20.25">
      <c r="A50" s="413"/>
      <c r="B50" s="413"/>
      <c r="C50" s="413"/>
      <c r="D50" s="413"/>
      <c r="E50" s="413"/>
      <c r="F50" s="413"/>
      <c r="G50" s="414"/>
      <c r="H50" s="413"/>
      <c r="I50" s="413"/>
      <c r="J50" s="413"/>
      <c r="K50" s="413"/>
      <c r="L50" s="413"/>
    </row>
    <row r="51" spans="1:12" ht="20.25">
      <c r="A51" s="413"/>
      <c r="B51" s="413"/>
      <c r="C51" s="413"/>
      <c r="D51" s="413"/>
      <c r="E51" s="413"/>
      <c r="F51" s="413"/>
      <c r="G51" s="414"/>
      <c r="H51" s="413"/>
      <c r="I51" s="413"/>
      <c r="J51" s="413"/>
      <c r="K51" s="413"/>
      <c r="L51" s="413"/>
    </row>
    <row r="52" spans="1:12" ht="20.25">
      <c r="A52" s="413"/>
      <c r="B52" s="413"/>
      <c r="C52" s="413"/>
      <c r="D52" s="413"/>
      <c r="E52" s="413"/>
      <c r="F52" s="413"/>
      <c r="G52" s="414"/>
      <c r="H52" s="413"/>
      <c r="I52" s="413"/>
      <c r="J52" s="413"/>
      <c r="K52" s="413"/>
      <c r="L52" s="413"/>
    </row>
    <row r="53" spans="1:12" ht="20.25">
      <c r="A53" s="413"/>
      <c r="B53" s="413"/>
      <c r="C53" s="413"/>
      <c r="D53" s="413"/>
      <c r="E53" s="413"/>
      <c r="F53" s="413"/>
      <c r="G53" s="414"/>
      <c r="H53" s="413"/>
      <c r="I53" s="413"/>
      <c r="J53" s="413"/>
      <c r="K53" s="413"/>
      <c r="L53" s="413"/>
    </row>
    <row r="54" spans="1:12" ht="20.25">
      <c r="A54" s="413"/>
      <c r="B54" s="413"/>
      <c r="C54" s="413"/>
      <c r="D54" s="413"/>
      <c r="E54" s="413"/>
      <c r="F54" s="413"/>
      <c r="G54" s="414"/>
      <c r="H54" s="413"/>
      <c r="I54" s="413"/>
      <c r="J54" s="413"/>
      <c r="K54" s="413"/>
      <c r="L54" s="413"/>
    </row>
    <row r="55" spans="1:12" ht="20.25">
      <c r="A55" s="413"/>
      <c r="B55" s="413"/>
      <c r="C55" s="413"/>
      <c r="D55" s="413"/>
      <c r="E55" s="413"/>
      <c r="F55" s="413"/>
      <c r="G55" s="414"/>
      <c r="H55" s="413"/>
      <c r="I55" s="413"/>
      <c r="J55" s="413"/>
      <c r="K55" s="413"/>
      <c r="L55" s="413"/>
    </row>
    <row r="56" spans="1:12" ht="20.25">
      <c r="A56" s="413"/>
      <c r="B56" s="413"/>
      <c r="C56" s="413"/>
      <c r="D56" s="413"/>
      <c r="E56" s="413"/>
      <c r="F56" s="413"/>
      <c r="G56" s="414"/>
      <c r="H56" s="413"/>
      <c r="I56" s="413"/>
      <c r="J56" s="413"/>
      <c r="K56" s="413"/>
      <c r="L56" s="413"/>
    </row>
    <row r="57" spans="1:12" ht="20.25">
      <c r="A57" s="413"/>
      <c r="B57" s="413"/>
      <c r="C57" s="413"/>
      <c r="D57" s="413"/>
      <c r="E57" s="413"/>
      <c r="F57" s="413"/>
      <c r="G57" s="414"/>
      <c r="H57" s="413"/>
      <c r="I57" s="413"/>
      <c r="J57" s="413"/>
      <c r="K57" s="413"/>
      <c r="L57" s="413"/>
    </row>
    <row r="58" spans="1:12" ht="20.25">
      <c r="A58" s="413"/>
      <c r="B58" s="413"/>
      <c r="C58" s="413"/>
      <c r="D58" s="413"/>
      <c r="E58" s="413"/>
      <c r="F58" s="413"/>
      <c r="G58" s="414"/>
      <c r="H58" s="413"/>
      <c r="I58" s="413"/>
      <c r="J58" s="413"/>
      <c r="K58" s="413"/>
      <c r="L58" s="413"/>
    </row>
    <row r="59" spans="1:12" ht="20.25">
      <c r="A59" s="413"/>
      <c r="B59" s="413"/>
      <c r="C59" s="413"/>
      <c r="D59" s="413"/>
      <c r="E59" s="413"/>
      <c r="F59" s="413"/>
      <c r="G59" s="414"/>
      <c r="H59" s="413"/>
      <c r="I59" s="413"/>
      <c r="J59" s="413"/>
      <c r="K59" s="413"/>
      <c r="L59" s="413"/>
    </row>
    <row r="60" spans="1:12" ht="20.25">
      <c r="A60" s="515" t="str">
        <f>+CONCATENATE("Partida ",B15,": ",C15)</f>
        <v>Partida (5) VAD: 8539.32.00.00</v>
      </c>
      <c r="B60" s="513"/>
      <c r="C60" s="514"/>
      <c r="D60" s="512"/>
      <c r="E60" s="512"/>
      <c r="F60" s="512"/>
      <c r="G60" s="515" t="str">
        <f>+CONCATENATE("Partida ",B16,": ",C16)</f>
        <v>Partida (6) VAD: 8704.21.10.10</v>
      </c>
      <c r="H60" s="513"/>
      <c r="I60" s="514"/>
      <c r="J60" s="512"/>
      <c r="K60" s="512"/>
      <c r="L60" s="512"/>
    </row>
    <row r="61" spans="1:12" ht="20.25">
      <c r="A61" s="414"/>
      <c r="B61" s="413"/>
      <c r="C61" s="413"/>
      <c r="D61" s="413"/>
      <c r="E61" s="413"/>
      <c r="F61" s="413"/>
      <c r="G61" s="413"/>
      <c r="H61" s="413"/>
      <c r="I61" s="413"/>
      <c r="J61" s="413"/>
      <c r="K61" s="413"/>
      <c r="L61" s="413"/>
    </row>
    <row r="62" spans="1:12" ht="20.25">
      <c r="A62" s="414"/>
      <c r="B62" s="413"/>
      <c r="C62" s="413"/>
      <c r="D62" s="413"/>
      <c r="E62" s="413"/>
      <c r="F62" s="413"/>
      <c r="G62" s="413"/>
      <c r="H62" s="413"/>
      <c r="I62" s="413"/>
      <c r="J62" s="413"/>
      <c r="K62" s="413"/>
      <c r="L62" s="413"/>
    </row>
    <row r="63" spans="1:12" ht="20.25">
      <c r="A63" s="414"/>
      <c r="B63" s="413"/>
      <c r="C63" s="413"/>
      <c r="D63" s="413"/>
      <c r="E63" s="413"/>
      <c r="F63" s="413"/>
      <c r="G63" s="413"/>
      <c r="H63" s="413"/>
      <c r="I63" s="413"/>
      <c r="J63" s="413"/>
      <c r="K63" s="413"/>
      <c r="L63" s="413"/>
    </row>
    <row r="64" spans="1:12" ht="20.25">
      <c r="A64" s="414"/>
      <c r="B64" s="413"/>
      <c r="C64" s="413"/>
      <c r="D64" s="413"/>
      <c r="E64" s="413"/>
      <c r="F64" s="413"/>
      <c r="G64" s="413"/>
      <c r="H64" s="413"/>
      <c r="I64" s="413"/>
      <c r="J64" s="413"/>
      <c r="K64" s="413"/>
      <c r="L64" s="413"/>
    </row>
    <row r="65" spans="1:12" ht="20.25">
      <c r="A65" s="414"/>
      <c r="B65" s="413"/>
      <c r="C65" s="413"/>
      <c r="D65" s="413"/>
      <c r="E65" s="413"/>
      <c r="F65" s="413"/>
      <c r="G65" s="413"/>
      <c r="H65" s="413"/>
      <c r="I65" s="413"/>
      <c r="J65" s="413"/>
      <c r="K65" s="413"/>
      <c r="L65" s="413"/>
    </row>
    <row r="66" spans="1:12" ht="20.25">
      <c r="A66" s="414"/>
      <c r="B66" s="413"/>
      <c r="C66" s="413"/>
      <c r="D66" s="413"/>
      <c r="E66" s="413"/>
      <c r="F66" s="413"/>
      <c r="G66" s="413"/>
      <c r="H66" s="413"/>
      <c r="I66" s="413"/>
      <c r="J66" s="413"/>
      <c r="K66" s="413"/>
      <c r="L66" s="413"/>
    </row>
    <row r="67" spans="1:12" ht="20.25">
      <c r="A67" s="414"/>
      <c r="B67" s="413"/>
      <c r="C67" s="413"/>
      <c r="D67" s="413"/>
      <c r="E67" s="413"/>
      <c r="F67" s="413"/>
      <c r="G67" s="413"/>
      <c r="H67" s="413"/>
      <c r="I67" s="413"/>
      <c r="J67" s="413"/>
      <c r="K67" s="413"/>
      <c r="L67" s="413"/>
    </row>
    <row r="68" spans="1:12" ht="20.25">
      <c r="A68" s="414"/>
      <c r="B68" s="413"/>
      <c r="C68" s="413"/>
      <c r="D68" s="413"/>
      <c r="E68" s="413"/>
      <c r="F68" s="413"/>
      <c r="G68" s="413"/>
      <c r="H68" s="413"/>
      <c r="I68" s="413"/>
      <c r="J68" s="413"/>
      <c r="K68" s="413"/>
      <c r="L68" s="413"/>
    </row>
    <row r="69" spans="1:12" ht="20.25">
      <c r="A69" s="414"/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</row>
    <row r="70" spans="1:12" ht="20.25">
      <c r="A70" s="414"/>
      <c r="B70" s="413"/>
      <c r="C70" s="413"/>
      <c r="D70" s="413"/>
      <c r="E70" s="413"/>
      <c r="F70" s="413"/>
      <c r="G70" s="413"/>
      <c r="H70" s="413"/>
      <c r="I70" s="413"/>
      <c r="J70" s="413"/>
      <c r="K70" s="413"/>
      <c r="L70" s="413"/>
    </row>
    <row r="71" spans="1:12" ht="20.25">
      <c r="A71" s="414"/>
      <c r="B71" s="413"/>
      <c r="C71" s="413"/>
      <c r="D71" s="413"/>
      <c r="E71" s="413"/>
      <c r="F71" s="413"/>
      <c r="G71" s="413"/>
      <c r="H71" s="413"/>
      <c r="I71" s="413"/>
      <c r="J71" s="413"/>
      <c r="K71" s="413"/>
      <c r="L71" s="413"/>
    </row>
    <row r="72" spans="1:12" ht="20.25">
      <c r="A72" s="414"/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</row>
    <row r="73" spans="1:12" ht="20.25">
      <c r="A73" s="414"/>
      <c r="B73" s="413"/>
      <c r="C73" s="413"/>
      <c r="D73" s="413"/>
      <c r="E73" s="413"/>
      <c r="F73" s="413"/>
      <c r="G73" s="413"/>
      <c r="H73" s="413"/>
      <c r="I73" s="413"/>
      <c r="J73" s="413"/>
      <c r="K73" s="413"/>
      <c r="L73" s="413"/>
    </row>
    <row r="74" spans="1:12" ht="20.25">
      <c r="A74" s="414"/>
      <c r="B74" s="413"/>
      <c r="C74" s="413"/>
      <c r="D74" s="413"/>
      <c r="E74" s="413"/>
      <c r="F74" s="413"/>
      <c r="G74" s="413"/>
      <c r="H74" s="413"/>
      <c r="I74" s="413"/>
      <c r="J74" s="413"/>
      <c r="K74" s="413"/>
      <c r="L74" s="413"/>
    </row>
    <row r="75" spans="1:12" ht="20.25">
      <c r="A75" s="414"/>
      <c r="B75" s="413"/>
      <c r="C75" s="413"/>
      <c r="D75" s="413"/>
      <c r="E75" s="413"/>
      <c r="F75" s="413"/>
      <c r="G75" s="413"/>
      <c r="H75" s="413"/>
      <c r="I75" s="413"/>
      <c r="J75" s="413"/>
      <c r="K75" s="413"/>
      <c r="L75" s="413"/>
    </row>
    <row r="76" spans="1:12" ht="20.25">
      <c r="A76" s="414"/>
      <c r="B76" s="413"/>
      <c r="C76" s="413"/>
      <c r="D76" s="413"/>
      <c r="E76" s="413"/>
      <c r="F76" s="413"/>
      <c r="G76" s="413"/>
      <c r="H76" s="413"/>
      <c r="I76" s="413"/>
      <c r="J76" s="413"/>
      <c r="K76" s="413"/>
      <c r="L76" s="413"/>
    </row>
    <row r="77" spans="1:12" ht="20.25">
      <c r="A77" s="414"/>
      <c r="B77" s="413"/>
      <c r="C77" s="413"/>
      <c r="D77" s="413"/>
      <c r="E77" s="413"/>
      <c r="F77" s="413"/>
      <c r="G77" s="413"/>
      <c r="H77" s="413"/>
      <c r="I77" s="413"/>
      <c r="J77" s="413"/>
      <c r="K77" s="413"/>
      <c r="L77" s="413"/>
    </row>
    <row r="78" spans="1:12" ht="20.25">
      <c r="A78" s="414"/>
      <c r="B78" s="413"/>
      <c r="C78" s="413"/>
      <c r="D78" s="413"/>
      <c r="E78" s="413"/>
      <c r="F78" s="413"/>
      <c r="G78" s="413"/>
      <c r="H78" s="413"/>
      <c r="I78" s="413"/>
      <c r="J78" s="413"/>
      <c r="K78" s="413"/>
      <c r="L78" s="413"/>
    </row>
    <row r="79" spans="1:12" ht="20.25">
      <c r="A79" s="515" t="str">
        <f>+CONCATENATE("Partida ",B17,": ",C17)</f>
        <v>Partida (7) VAD: 9028.30.10.00</v>
      </c>
      <c r="B79" s="513"/>
      <c r="C79" s="514"/>
      <c r="D79" s="512"/>
      <c r="E79" s="512"/>
      <c r="F79" s="512"/>
      <c r="G79" s="515" t="str">
        <f>+CONCATENATE("Partida ",B18,": ",C18)</f>
        <v>Partida (8) Cobre: 7413.00.00.00</v>
      </c>
      <c r="H79" s="513"/>
      <c r="I79" s="514"/>
      <c r="J79" s="512"/>
      <c r="K79" s="512"/>
      <c r="L79" s="512"/>
    </row>
    <row r="80" spans="1:12" ht="20.25">
      <c r="A80" s="413"/>
      <c r="B80" s="413"/>
      <c r="C80" s="413"/>
      <c r="D80" s="413"/>
      <c r="E80" s="413"/>
      <c r="F80" s="413"/>
      <c r="G80" s="414"/>
      <c r="H80" s="413"/>
      <c r="I80" s="413"/>
      <c r="J80" s="413"/>
      <c r="K80" s="413"/>
      <c r="L80" s="413"/>
    </row>
    <row r="81" spans="1:12" ht="20.25">
      <c r="A81" s="413"/>
      <c r="B81" s="413"/>
      <c r="C81" s="413"/>
      <c r="D81" s="413"/>
      <c r="E81" s="413"/>
      <c r="F81" s="413"/>
      <c r="G81" s="414"/>
      <c r="H81" s="413"/>
      <c r="I81" s="413"/>
      <c r="J81" s="413"/>
      <c r="K81" s="413"/>
      <c r="L81" s="413"/>
    </row>
    <row r="82" spans="1:12" ht="20.25">
      <c r="A82" s="413"/>
      <c r="B82" s="413"/>
      <c r="C82" s="413"/>
      <c r="D82" s="413"/>
      <c r="E82" s="413"/>
      <c r="F82" s="413"/>
      <c r="G82" s="414"/>
      <c r="H82" s="413"/>
      <c r="I82" s="413"/>
      <c r="J82" s="413"/>
      <c r="K82" s="413"/>
      <c r="L82" s="413"/>
    </row>
    <row r="83" spans="1:12" ht="20.25">
      <c r="A83" s="413"/>
      <c r="B83" s="413"/>
      <c r="C83" s="413"/>
      <c r="D83" s="413"/>
      <c r="E83" s="413"/>
      <c r="F83" s="413"/>
      <c r="G83" s="414"/>
      <c r="H83" s="413"/>
      <c r="I83" s="413"/>
      <c r="J83" s="413"/>
      <c r="K83" s="413"/>
      <c r="L83" s="413"/>
    </row>
    <row r="84" spans="1:12" ht="20.25">
      <c r="A84" s="413"/>
      <c r="B84" s="413"/>
      <c r="C84" s="413"/>
      <c r="D84" s="413"/>
      <c r="E84" s="413"/>
      <c r="F84" s="413"/>
      <c r="G84" s="414"/>
      <c r="H84" s="413"/>
      <c r="I84" s="413"/>
      <c r="J84" s="413"/>
      <c r="K84" s="413"/>
      <c r="L84" s="413"/>
    </row>
    <row r="85" spans="1:12" ht="20.25">
      <c r="A85" s="413"/>
      <c r="B85" s="413"/>
      <c r="C85" s="413"/>
      <c r="D85" s="413"/>
      <c r="E85" s="413"/>
      <c r="F85" s="413"/>
      <c r="G85" s="414"/>
      <c r="H85" s="413"/>
      <c r="I85" s="413"/>
      <c r="J85" s="413"/>
      <c r="K85" s="413"/>
      <c r="L85" s="413"/>
    </row>
    <row r="86" spans="1:12" ht="20.25">
      <c r="A86" s="413"/>
      <c r="B86" s="413"/>
      <c r="C86" s="413"/>
      <c r="D86" s="413"/>
      <c r="E86" s="413"/>
      <c r="F86" s="413"/>
      <c r="G86" s="414"/>
      <c r="H86" s="413"/>
      <c r="I86" s="413"/>
      <c r="J86" s="413"/>
      <c r="K86" s="413"/>
      <c r="L86" s="413"/>
    </row>
    <row r="87" spans="1:12" ht="20.25">
      <c r="A87" s="413"/>
      <c r="B87" s="413"/>
      <c r="C87" s="413"/>
      <c r="D87" s="413"/>
      <c r="E87" s="413"/>
      <c r="F87" s="413"/>
      <c r="G87" s="414"/>
      <c r="H87" s="413"/>
      <c r="I87" s="413"/>
      <c r="J87" s="413"/>
      <c r="K87" s="413"/>
      <c r="L87" s="413"/>
    </row>
    <row r="88" spans="1:12" ht="20.25">
      <c r="A88" s="413"/>
      <c r="B88" s="413"/>
      <c r="C88" s="413"/>
      <c r="D88" s="413"/>
      <c r="E88" s="413"/>
      <c r="F88" s="413"/>
      <c r="G88" s="414"/>
      <c r="H88" s="413"/>
      <c r="I88" s="413"/>
      <c r="J88" s="413"/>
      <c r="K88" s="413"/>
      <c r="L88" s="413"/>
    </row>
    <row r="89" spans="1:12" ht="20.25">
      <c r="A89" s="413"/>
      <c r="B89" s="413"/>
      <c r="C89" s="413"/>
      <c r="D89" s="413"/>
      <c r="E89" s="413"/>
      <c r="F89" s="413"/>
      <c r="G89" s="414"/>
      <c r="H89" s="413"/>
      <c r="I89" s="413"/>
      <c r="J89" s="413"/>
      <c r="K89" s="413"/>
      <c r="L89" s="413"/>
    </row>
    <row r="90" spans="1:12" ht="20.25">
      <c r="A90" s="413"/>
      <c r="B90" s="413"/>
      <c r="C90" s="413"/>
      <c r="D90" s="413"/>
      <c r="E90" s="413"/>
      <c r="F90" s="413"/>
      <c r="G90" s="414"/>
      <c r="H90" s="413"/>
      <c r="I90" s="413"/>
      <c r="J90" s="413"/>
      <c r="K90" s="413"/>
      <c r="L90" s="413"/>
    </row>
    <row r="91" spans="1:12" ht="20.25">
      <c r="A91" s="413"/>
      <c r="B91" s="413"/>
      <c r="C91" s="413"/>
      <c r="D91" s="413"/>
      <c r="E91" s="413"/>
      <c r="F91" s="413"/>
      <c r="G91" s="414"/>
      <c r="H91" s="413"/>
      <c r="I91" s="413"/>
      <c r="J91" s="413"/>
      <c r="K91" s="413"/>
      <c r="L91" s="413"/>
    </row>
    <row r="92" spans="1:12" ht="20.25">
      <c r="A92" s="413"/>
      <c r="B92" s="413"/>
      <c r="C92" s="413"/>
      <c r="D92" s="413"/>
      <c r="E92" s="413"/>
      <c r="F92" s="413"/>
      <c r="G92" s="414"/>
      <c r="H92" s="413"/>
      <c r="I92" s="413"/>
      <c r="J92" s="413"/>
      <c r="K92" s="413"/>
      <c r="L92" s="413"/>
    </row>
    <row r="93" spans="1:12" ht="20.25">
      <c r="A93" s="413"/>
      <c r="B93" s="413"/>
      <c r="C93" s="413"/>
      <c r="D93" s="413"/>
      <c r="E93" s="413"/>
      <c r="F93" s="413"/>
      <c r="G93" s="414"/>
      <c r="H93" s="413"/>
      <c r="I93" s="413"/>
      <c r="J93" s="413"/>
      <c r="K93" s="413"/>
      <c r="L93" s="413"/>
    </row>
    <row r="94" spans="1:12" ht="20.25">
      <c r="A94" s="413"/>
      <c r="B94" s="413"/>
      <c r="C94" s="413"/>
      <c r="D94" s="413"/>
      <c r="E94" s="413"/>
      <c r="F94" s="413"/>
      <c r="G94" s="414"/>
      <c r="H94" s="413"/>
      <c r="I94" s="413"/>
      <c r="J94" s="413"/>
      <c r="K94" s="413"/>
      <c r="L94" s="413"/>
    </row>
    <row r="95" spans="1:12" ht="20.25">
      <c r="A95" s="413"/>
      <c r="B95" s="413"/>
      <c r="C95" s="413"/>
      <c r="D95" s="413"/>
      <c r="E95" s="413"/>
      <c r="F95" s="413"/>
      <c r="G95" s="414"/>
      <c r="H95" s="413"/>
      <c r="I95" s="413"/>
      <c r="J95" s="413"/>
      <c r="K95" s="413"/>
      <c r="L95" s="413"/>
    </row>
    <row r="96" spans="1:12" ht="20.25">
      <c r="A96" s="413"/>
      <c r="B96" s="413"/>
      <c r="C96" s="413"/>
      <c r="D96" s="413"/>
      <c r="E96" s="413"/>
      <c r="F96" s="413"/>
      <c r="G96" s="414"/>
      <c r="H96" s="413"/>
      <c r="I96" s="413"/>
      <c r="J96" s="413"/>
      <c r="K96" s="413"/>
      <c r="L96" s="413"/>
    </row>
    <row r="97" spans="1:12" ht="20.25">
      <c r="A97" s="515" t="str">
        <f>+CONCATENATE("Partida ",B19,": ",C19)</f>
        <v>Partida (9) Aluminio: 7614.90.00.00</v>
      </c>
      <c r="B97" s="513"/>
      <c r="C97" s="514"/>
      <c r="D97" s="512"/>
      <c r="E97" s="512"/>
      <c r="F97" s="512"/>
      <c r="G97" s="515" t="str">
        <f>+CONCATENATE("Partida ",B20,": ",C20)</f>
        <v>Partida (10) Conexión 1: 9028.30.90.00</v>
      </c>
      <c r="H97" s="513"/>
      <c r="I97" s="514"/>
      <c r="J97" s="512"/>
      <c r="K97" s="512"/>
      <c r="L97" s="512"/>
    </row>
    <row r="98" spans="1:12" ht="20.25">
      <c r="A98" s="413"/>
      <c r="B98" s="413"/>
      <c r="C98" s="413"/>
      <c r="D98" s="413"/>
      <c r="E98" s="413"/>
      <c r="F98" s="413"/>
      <c r="G98" s="413"/>
      <c r="H98" s="413"/>
      <c r="I98" s="413"/>
      <c r="J98" s="413"/>
      <c r="K98" s="413"/>
      <c r="L98" s="413"/>
    </row>
    <row r="99" spans="1:12" ht="20.25">
      <c r="A99" s="413"/>
      <c r="B99" s="413"/>
      <c r="C99" s="413"/>
      <c r="D99" s="413"/>
      <c r="E99" s="413"/>
      <c r="F99" s="413"/>
      <c r="G99" s="413"/>
      <c r="H99" s="413"/>
      <c r="I99" s="413"/>
      <c r="J99" s="413"/>
      <c r="K99" s="413"/>
      <c r="L99" s="413"/>
    </row>
    <row r="100" spans="1:12" ht="20.25">
      <c r="A100" s="413"/>
      <c r="B100" s="413"/>
      <c r="C100" s="413"/>
      <c r="D100" s="413"/>
      <c r="E100" s="413"/>
      <c r="F100" s="413"/>
      <c r="G100" s="413"/>
      <c r="H100" s="413"/>
      <c r="I100" s="413"/>
      <c r="J100" s="413"/>
      <c r="K100" s="413"/>
      <c r="L100" s="413"/>
    </row>
    <row r="101" spans="1:12" ht="20.25">
      <c r="A101" s="413"/>
      <c r="B101" s="413"/>
      <c r="C101" s="413"/>
      <c r="D101" s="413"/>
      <c r="E101" s="413"/>
      <c r="F101" s="413"/>
      <c r="G101" s="413"/>
      <c r="H101" s="413"/>
      <c r="I101" s="413"/>
      <c r="J101" s="413"/>
      <c r="K101" s="413"/>
      <c r="L101" s="413"/>
    </row>
    <row r="102" spans="1:12" ht="20.25">
      <c r="A102" s="413"/>
      <c r="B102" s="413"/>
      <c r="C102" s="413"/>
      <c r="D102" s="413"/>
      <c r="E102" s="413"/>
      <c r="F102" s="413"/>
      <c r="G102" s="413"/>
      <c r="H102" s="413"/>
      <c r="I102" s="413"/>
      <c r="J102" s="413"/>
      <c r="K102" s="413"/>
      <c r="L102" s="413"/>
    </row>
    <row r="103" spans="1:12" ht="20.25">
      <c r="A103" s="413"/>
      <c r="B103" s="413"/>
      <c r="C103" s="413"/>
      <c r="D103" s="413"/>
      <c r="E103" s="413"/>
      <c r="F103" s="413"/>
      <c r="G103" s="413"/>
      <c r="H103" s="413"/>
      <c r="I103" s="413"/>
      <c r="J103" s="413"/>
      <c r="K103" s="413"/>
      <c r="L103" s="413"/>
    </row>
    <row r="104" spans="1:12" ht="20.25">
      <c r="A104" s="413"/>
      <c r="B104" s="413"/>
      <c r="C104" s="413"/>
      <c r="D104" s="413"/>
      <c r="E104" s="413"/>
      <c r="F104" s="413"/>
      <c r="G104" s="413"/>
      <c r="H104" s="413"/>
      <c r="I104" s="413"/>
      <c r="J104" s="413"/>
      <c r="K104" s="413"/>
      <c r="L104" s="413"/>
    </row>
    <row r="105" spans="1:12" ht="20.25">
      <c r="A105" s="413"/>
      <c r="B105" s="413"/>
      <c r="C105" s="413"/>
      <c r="D105" s="413"/>
      <c r="E105" s="413"/>
      <c r="F105" s="413"/>
      <c r="G105" s="413"/>
      <c r="H105" s="413"/>
      <c r="I105" s="413"/>
      <c r="J105" s="413"/>
      <c r="K105" s="413"/>
      <c r="L105" s="413"/>
    </row>
    <row r="106" spans="1:12" ht="20.25">
      <c r="A106" s="413"/>
      <c r="B106" s="413"/>
      <c r="C106" s="413"/>
      <c r="D106" s="413"/>
      <c r="E106" s="413"/>
      <c r="F106" s="413"/>
      <c r="G106" s="413"/>
      <c r="H106" s="413"/>
      <c r="I106" s="413"/>
      <c r="J106" s="413"/>
      <c r="K106" s="413"/>
      <c r="L106" s="413"/>
    </row>
    <row r="107" spans="1:12" ht="20.25">
      <c r="A107" s="413"/>
      <c r="B107" s="413"/>
      <c r="C107" s="413"/>
      <c r="D107" s="413"/>
      <c r="E107" s="413"/>
      <c r="F107" s="413"/>
      <c r="G107" s="413"/>
      <c r="H107" s="413"/>
      <c r="I107" s="413"/>
      <c r="J107" s="413"/>
      <c r="K107" s="413"/>
      <c r="L107" s="413"/>
    </row>
    <row r="108" spans="1:12" ht="20.25">
      <c r="A108" s="413"/>
      <c r="B108" s="413"/>
      <c r="C108" s="413"/>
      <c r="D108" s="413"/>
      <c r="E108" s="413"/>
      <c r="F108" s="413"/>
      <c r="G108" s="413"/>
      <c r="H108" s="413"/>
      <c r="I108" s="413"/>
      <c r="J108" s="413"/>
      <c r="K108" s="413"/>
      <c r="L108" s="413"/>
    </row>
    <row r="109" spans="1:12" ht="20.25">
      <c r="A109" s="413"/>
      <c r="B109" s="413"/>
      <c r="C109" s="413"/>
      <c r="D109" s="413"/>
      <c r="E109" s="413"/>
      <c r="F109" s="413"/>
      <c r="G109" s="413"/>
      <c r="H109" s="413"/>
      <c r="I109" s="413"/>
      <c r="J109" s="413"/>
      <c r="K109" s="413"/>
      <c r="L109" s="413"/>
    </row>
    <row r="110" spans="1:12" ht="20.25">
      <c r="A110" s="413"/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</row>
    <row r="111" spans="1:12" ht="20.25">
      <c r="A111" s="413"/>
      <c r="B111" s="413"/>
      <c r="C111" s="413"/>
      <c r="D111" s="413"/>
      <c r="E111" s="413"/>
      <c r="F111" s="413"/>
      <c r="G111" s="413"/>
      <c r="H111" s="413"/>
      <c r="I111" s="413"/>
      <c r="J111" s="413"/>
      <c r="K111" s="413"/>
      <c r="L111" s="413"/>
    </row>
    <row r="112" spans="1:12" ht="20.25">
      <c r="A112" s="413"/>
      <c r="B112" s="413"/>
      <c r="C112" s="413"/>
      <c r="D112" s="413"/>
      <c r="E112" s="413"/>
      <c r="F112" s="413"/>
      <c r="G112" s="413"/>
      <c r="H112" s="413"/>
      <c r="I112" s="413"/>
      <c r="J112" s="413"/>
      <c r="K112" s="413"/>
      <c r="L112" s="413"/>
    </row>
    <row r="113" spans="1:12" ht="20.25">
      <c r="A113" s="413"/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  <c r="L113" s="413"/>
    </row>
    <row r="114" spans="1:12" ht="20.25">
      <c r="A114" s="413"/>
      <c r="B114" s="413"/>
      <c r="C114" s="413"/>
      <c r="D114" s="413"/>
      <c r="E114" s="413"/>
      <c r="F114" s="413"/>
      <c r="G114" s="413"/>
      <c r="H114" s="413"/>
      <c r="I114" s="413"/>
      <c r="J114" s="413"/>
      <c r="K114" s="413"/>
      <c r="L114" s="413"/>
    </row>
    <row r="115" spans="1:12" ht="20.25">
      <c r="A115" s="413"/>
      <c r="B115" s="413"/>
      <c r="C115" s="413"/>
      <c r="D115" s="413"/>
      <c r="E115" s="413"/>
      <c r="F115" s="413"/>
      <c r="G115" s="415"/>
      <c r="H115" s="415"/>
      <c r="I115" s="415"/>
      <c r="J115" s="415"/>
      <c r="K115" s="415"/>
      <c r="L115" s="415"/>
    </row>
    <row r="116" spans="1:12">
      <c r="A116" s="26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>
      <c r="A117" s="26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>
      <c r="A118" s="26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>
      <c r="A119" s="26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>
      <c r="A120" s="26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>
      <c r="A121" s="26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>
      <c r="A122" s="26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>
      <c r="A123" s="26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>
      <c r="A124" s="26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>
      <c r="A128" s="26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>
      <c r="A131" s="26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>
      <c r="A132" s="26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>
      <c r="A133" s="26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>
      <c r="A134" s="26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>
      <c r="A135" s="26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>
      <c r="A136" s="26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>
      <c r="A137" s="26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>
      <c r="A138" s="26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>
      <c r="A140" s="26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>
      <c r="A141" s="26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>
      <c r="A144" s="26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>
      <c r="A145" s="26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>
      <c r="A146" s="26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>
      <c r="A147" s="26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>
      <c r="A148" s="26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>
      <c r="A149" s="26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>
      <c r="A150" s="26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>
      <c r="A151" s="26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>
      <c r="A152" s="26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>
      <c r="A153" s="26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>
      <c r="A154" s="26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>
      <c r="A155" s="26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>
      <c r="A156" s="26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>
      <c r="A157" s="26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>
      <c r="A158" s="26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>
      <c r="A159" s="26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>
      <c r="A160" s="26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>
      <c r="A161" s="26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>
      <c r="A163" s="26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>
      <c r="A164" s="26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</sheetData>
  <phoneticPr fontId="12" type="noConversion"/>
  <conditionalFormatting sqref="B10:E19">
    <cfRule type="cellIs" dxfId="1" priority="2" operator="equal">
      <formula>0</formula>
    </cfRule>
  </conditionalFormatting>
  <conditionalFormatting sqref="B20:E21">
    <cfRule type="cellIs" dxfId="0" priority="1" operator="equal">
      <formula>0</formula>
    </cfRule>
  </conditionalFormatting>
  <hyperlinks>
    <hyperlink ref="B8" r:id="rId1"/>
  </hyperlinks>
  <printOptions horizontalCentered="1"/>
  <pageMargins left="0.86614173228346458" right="0.94488188976377963" top="0.82677165354330717" bottom="0.78740157480314965" header="0" footer="0"/>
  <pageSetup paperSize="9" scale="46" fitToHeight="13" orientation="portrait" r:id="rId2"/>
  <headerFooter alignWithMargins="0"/>
  <rowBreaks count="1" manualBreakCount="1">
    <brk id="78" max="11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T61"/>
  <sheetViews>
    <sheetView showGridLines="0" zoomScaleNormal="100" workbookViewId="0"/>
  </sheetViews>
  <sheetFormatPr baseColWidth="10" defaultColWidth="11.5546875" defaultRowHeight="15"/>
  <cols>
    <col min="1" max="1" width="26.109375" customWidth="1"/>
    <col min="2" max="2" width="27.5546875" customWidth="1"/>
    <col min="3" max="3" width="15.21875" customWidth="1"/>
    <col min="4" max="4" width="17.44140625" customWidth="1"/>
    <col min="5" max="5" width="20.5546875" customWidth="1"/>
    <col min="6" max="6" width="15.44140625" customWidth="1"/>
    <col min="7" max="7" width="14.5546875" customWidth="1"/>
    <col min="8" max="8" width="16.109375" customWidth="1"/>
    <col min="9" max="9" width="14" customWidth="1"/>
    <col min="10" max="10" width="16.109375" customWidth="1"/>
    <col min="11" max="12" width="13" bestFit="1" customWidth="1"/>
    <col min="13" max="13" width="22.109375" customWidth="1"/>
    <col min="14" max="14" width="31.33203125" customWidth="1"/>
    <col min="15" max="16" width="22.109375" customWidth="1"/>
  </cols>
  <sheetData>
    <row r="1" spans="1:20" ht="52.5">
      <c r="A1" s="383" t="s">
        <v>583</v>
      </c>
      <c r="B1" s="390"/>
      <c r="C1" s="390"/>
      <c r="D1" s="390"/>
      <c r="E1" s="390"/>
    </row>
    <row r="2" spans="1:20" ht="26.25">
      <c r="A2" s="70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36">
      <c r="A3" s="393" t="s">
        <v>734</v>
      </c>
      <c r="B3" s="394"/>
      <c r="C3" s="394"/>
      <c r="D3" s="394"/>
      <c r="E3" s="394"/>
    </row>
    <row r="4" spans="1:20" ht="15" customHeight="1"/>
    <row r="5" spans="1:20" ht="15" customHeight="1">
      <c r="A5" s="391" t="str">
        <f>+CONCATENATE("Actualizado al ",TEXT(Historico!O5,"dd/mmmm/yyyy"))</f>
        <v>Actualizado al 04/diciembre/2012</v>
      </c>
      <c r="B5" s="392"/>
      <c r="C5" s="392"/>
      <c r="D5" s="392"/>
      <c r="E5" s="392"/>
    </row>
    <row r="6" spans="1:20" ht="15" customHeight="1">
      <c r="A6" s="801"/>
      <c r="B6" s="505"/>
      <c r="C6" s="505"/>
      <c r="D6" s="505"/>
      <c r="E6" s="505"/>
    </row>
    <row r="7" spans="1:20" ht="15.75">
      <c r="A7" s="803" t="s">
        <v>87</v>
      </c>
      <c r="B7" s="804"/>
      <c r="C7" s="838" t="s">
        <v>277</v>
      </c>
      <c r="D7" s="839"/>
      <c r="E7" s="840"/>
    </row>
    <row r="8" spans="1:20" ht="15.75">
      <c r="A8" s="805"/>
      <c r="B8" s="57"/>
      <c r="C8" s="58" t="s">
        <v>669</v>
      </c>
      <c r="D8" s="34" t="s">
        <v>88</v>
      </c>
      <c r="E8" s="806" t="s">
        <v>89</v>
      </c>
    </row>
    <row r="9" spans="1:20">
      <c r="A9" s="836" t="s">
        <v>24</v>
      </c>
      <c r="B9" s="836"/>
      <c r="C9" s="795">
        <v>0.89</v>
      </c>
      <c r="D9" s="418">
        <f>Factores!F27</f>
        <v>0.97150000000000003</v>
      </c>
      <c r="E9" s="807">
        <f t="shared" ref="E9:E34" si="0">ROUND(C9*D9,2)</f>
        <v>0.86</v>
      </c>
    </row>
    <row r="10" spans="1:20">
      <c r="A10" s="837" t="s">
        <v>27</v>
      </c>
      <c r="B10" s="837"/>
      <c r="C10" s="796">
        <v>0.01</v>
      </c>
      <c r="D10" s="797">
        <f>Factores!F28</f>
        <v>0.98319999999999996</v>
      </c>
      <c r="E10" s="808">
        <f t="shared" si="0"/>
        <v>0.01</v>
      </c>
    </row>
    <row r="11" spans="1:20">
      <c r="A11" s="837" t="s">
        <v>26</v>
      </c>
      <c r="B11" s="837"/>
      <c r="C11" s="796">
        <v>0.01</v>
      </c>
      <c r="D11" s="797">
        <f>Factores!F29</f>
        <v>0.98399999999999999</v>
      </c>
      <c r="E11" s="808">
        <f t="shared" si="0"/>
        <v>0.01</v>
      </c>
    </row>
    <row r="12" spans="1:20">
      <c r="A12" s="837" t="s">
        <v>25</v>
      </c>
      <c r="B12" s="837"/>
      <c r="C12" s="796">
        <v>0.12</v>
      </c>
      <c r="D12" s="797">
        <f>Factores!F30</f>
        <v>1.0341</v>
      </c>
      <c r="E12" s="808">
        <f t="shared" si="0"/>
        <v>0.12</v>
      </c>
    </row>
    <row r="13" spans="1:20">
      <c r="A13" s="837" t="s">
        <v>90</v>
      </c>
      <c r="B13" s="837"/>
      <c r="C13" s="796">
        <v>0.55000000000000004</v>
      </c>
      <c r="D13" s="797">
        <f>Factores!F31</f>
        <v>0.97150000000000003</v>
      </c>
      <c r="E13" s="808">
        <f t="shared" si="0"/>
        <v>0.53</v>
      </c>
    </row>
    <row r="14" spans="1:20">
      <c r="A14" s="837" t="s">
        <v>91</v>
      </c>
      <c r="B14" s="837"/>
      <c r="C14" s="796">
        <v>1.86</v>
      </c>
      <c r="D14" s="797">
        <f>Factores!F32</f>
        <v>0.97150000000000003</v>
      </c>
      <c r="E14" s="808">
        <f t="shared" si="0"/>
        <v>1.81</v>
      </c>
    </row>
    <row r="15" spans="1:20" ht="15.75" thickBot="1">
      <c r="A15" s="841" t="s">
        <v>92</v>
      </c>
      <c r="B15" s="841"/>
      <c r="C15" s="798">
        <v>0.38</v>
      </c>
      <c r="D15" s="797">
        <f>Factores!F33</f>
        <v>0.97150000000000003</v>
      </c>
      <c r="E15" s="809">
        <f t="shared" si="0"/>
        <v>0.37</v>
      </c>
    </row>
    <row r="16" spans="1:20" ht="15" customHeight="1" thickBot="1">
      <c r="A16" s="843" t="s">
        <v>466</v>
      </c>
      <c r="B16" s="843"/>
      <c r="C16" s="441">
        <v>0.2</v>
      </c>
      <c r="D16" s="682">
        <f>Factores!F36</f>
        <v>0.97720000000000007</v>
      </c>
      <c r="E16" s="810">
        <f t="shared" si="0"/>
        <v>0.2</v>
      </c>
    </row>
    <row r="17" spans="1:10">
      <c r="A17" s="836" t="s">
        <v>467</v>
      </c>
      <c r="B17" s="836"/>
      <c r="C17" s="442">
        <v>2.0099999999999998</v>
      </c>
      <c r="D17" s="799">
        <f>Factores!F39</f>
        <v>1.7132000000000001</v>
      </c>
      <c r="E17" s="807">
        <f t="shared" si="0"/>
        <v>3.44</v>
      </c>
    </row>
    <row r="18" spans="1:10">
      <c r="A18" s="841" t="s">
        <v>468</v>
      </c>
      <c r="B18" s="841"/>
      <c r="C18" s="798">
        <v>0</v>
      </c>
      <c r="D18" s="419">
        <f>Factores!F40</f>
        <v>0</v>
      </c>
      <c r="E18" s="809">
        <f t="shared" si="0"/>
        <v>0</v>
      </c>
    </row>
    <row r="19" spans="1:10">
      <c r="A19" s="811" t="s">
        <v>394</v>
      </c>
      <c r="B19" s="84" t="s">
        <v>185</v>
      </c>
      <c r="C19" s="442">
        <v>0.02</v>
      </c>
      <c r="D19" s="116">
        <f>Factores!F42</f>
        <v>0</v>
      </c>
      <c r="E19" s="807">
        <f t="shared" si="0"/>
        <v>0</v>
      </c>
    </row>
    <row r="20" spans="1:10">
      <c r="A20" s="812"/>
      <c r="B20" s="800" t="s">
        <v>278</v>
      </c>
      <c r="C20" s="796">
        <v>0.03</v>
      </c>
      <c r="D20" s="799">
        <f>Factores!F43</f>
        <v>1</v>
      </c>
      <c r="E20" s="808">
        <f t="shared" si="0"/>
        <v>0.03</v>
      </c>
    </row>
    <row r="21" spans="1:10">
      <c r="A21" s="812"/>
      <c r="B21" s="800" t="s">
        <v>279</v>
      </c>
      <c r="C21" s="796">
        <v>0.02</v>
      </c>
      <c r="D21" s="799">
        <f>Factores!F44</f>
        <v>1</v>
      </c>
      <c r="E21" s="808">
        <f t="shared" si="0"/>
        <v>0.02</v>
      </c>
    </row>
    <row r="22" spans="1:10">
      <c r="A22" s="812"/>
      <c r="B22" s="800" t="s">
        <v>186</v>
      </c>
      <c r="C22" s="796">
        <v>0.04</v>
      </c>
      <c r="D22" s="799">
        <f>Factores!F45</f>
        <v>1.25</v>
      </c>
      <c r="E22" s="808">
        <f t="shared" si="0"/>
        <v>0.05</v>
      </c>
    </row>
    <row r="23" spans="1:10" ht="15" customHeight="1">
      <c r="A23" s="812"/>
      <c r="B23" s="800" t="s">
        <v>191</v>
      </c>
      <c r="C23" s="796">
        <v>0.02</v>
      </c>
      <c r="D23" s="799">
        <f>Factores!F46</f>
        <v>0.5</v>
      </c>
      <c r="E23" s="808">
        <f t="shared" si="0"/>
        <v>0.01</v>
      </c>
    </row>
    <row r="24" spans="1:10">
      <c r="A24" s="812"/>
      <c r="B24" s="800" t="s">
        <v>187</v>
      </c>
      <c r="C24" s="796">
        <v>0.12</v>
      </c>
      <c r="D24" s="799">
        <f>Factores!F47</f>
        <v>1</v>
      </c>
      <c r="E24" s="808">
        <f t="shared" si="0"/>
        <v>0.12</v>
      </c>
    </row>
    <row r="25" spans="1:10">
      <c r="A25" s="812"/>
      <c r="B25" s="800" t="s">
        <v>188</v>
      </c>
      <c r="C25" s="796">
        <v>0.03</v>
      </c>
      <c r="D25" s="799">
        <f>Factores!F48</f>
        <v>1</v>
      </c>
      <c r="E25" s="808">
        <f t="shared" si="0"/>
        <v>0.03</v>
      </c>
    </row>
    <row r="26" spans="1:10">
      <c r="A26" s="812"/>
      <c r="B26" s="800" t="s">
        <v>189</v>
      </c>
      <c r="C26" s="796">
        <v>0.03</v>
      </c>
      <c r="D26" s="799">
        <f>Factores!F49</f>
        <v>1.6667000000000001</v>
      </c>
      <c r="E26" s="808">
        <f t="shared" si="0"/>
        <v>0.05</v>
      </c>
      <c r="J26" s="37"/>
    </row>
    <row r="27" spans="1:10">
      <c r="A27" s="812"/>
      <c r="B27" s="800" t="s">
        <v>344</v>
      </c>
      <c r="C27" s="796">
        <v>0.14000000000000001</v>
      </c>
      <c r="D27" s="799">
        <f>Factores!F50</f>
        <v>0.92859999999999998</v>
      </c>
      <c r="E27" s="808">
        <f t="shared" si="0"/>
        <v>0.13</v>
      </c>
      <c r="J27" s="37"/>
    </row>
    <row r="28" spans="1:10">
      <c r="A28" s="812"/>
      <c r="B28" s="800" t="s">
        <v>280</v>
      </c>
      <c r="C28" s="796">
        <v>0.01</v>
      </c>
      <c r="D28" s="799">
        <f>Factores!F51</f>
        <v>0</v>
      </c>
      <c r="E28" s="808">
        <f t="shared" si="0"/>
        <v>0</v>
      </c>
      <c r="J28" s="37"/>
    </row>
    <row r="29" spans="1:10">
      <c r="A29" s="800"/>
      <c r="B29" s="800" t="s">
        <v>345</v>
      </c>
      <c r="C29" s="796">
        <v>0.05</v>
      </c>
      <c r="D29" s="799">
        <f>Factores!F52</f>
        <v>1</v>
      </c>
      <c r="E29" s="808">
        <f t="shared" si="0"/>
        <v>0.05</v>
      </c>
      <c r="J29" s="37"/>
    </row>
    <row r="30" spans="1:10">
      <c r="A30" s="800"/>
      <c r="B30" s="800" t="s">
        <v>346</v>
      </c>
      <c r="C30" s="796">
        <v>0.05</v>
      </c>
      <c r="D30" s="799">
        <f>Factores!F53</f>
        <v>1</v>
      </c>
      <c r="E30" s="808">
        <f t="shared" si="0"/>
        <v>0.05</v>
      </c>
      <c r="J30" s="37"/>
    </row>
    <row r="31" spans="1:10">
      <c r="A31" s="813"/>
      <c r="B31" s="800" t="s">
        <v>347</v>
      </c>
      <c r="C31" s="796">
        <v>0.03</v>
      </c>
      <c r="D31" s="799">
        <f>Factores!F54</f>
        <v>0.33329999999999999</v>
      </c>
      <c r="E31" s="808">
        <f t="shared" si="0"/>
        <v>0.01</v>
      </c>
      <c r="J31" s="37"/>
    </row>
    <row r="32" spans="1:10">
      <c r="A32" s="819" t="s">
        <v>350</v>
      </c>
      <c r="B32" s="794" t="s">
        <v>190</v>
      </c>
      <c r="C32" s="440">
        <v>1.45</v>
      </c>
      <c r="D32" s="92">
        <f>Factores!F56</f>
        <v>0.98619999999999997</v>
      </c>
      <c r="E32" s="820">
        <f t="shared" si="0"/>
        <v>1.43</v>
      </c>
      <c r="J32" s="37"/>
    </row>
    <row r="33" spans="1:10" ht="15.75" customHeight="1">
      <c r="A33" s="817" t="s">
        <v>348</v>
      </c>
      <c r="B33" s="818"/>
      <c r="C33" s="796">
        <v>0.38</v>
      </c>
      <c r="D33" s="797">
        <f>Factores!F58</f>
        <v>0.97150000000000003</v>
      </c>
      <c r="E33" s="808">
        <f t="shared" si="0"/>
        <v>0.37</v>
      </c>
      <c r="J33" s="37"/>
    </row>
    <row r="34" spans="1:10" ht="15" customHeight="1">
      <c r="A34" s="814" t="s">
        <v>349</v>
      </c>
      <c r="B34" s="815"/>
      <c r="C34" s="798">
        <v>0.67</v>
      </c>
      <c r="D34" s="816">
        <f>Factores!F59</f>
        <v>0.97150000000000003</v>
      </c>
      <c r="E34" s="809">
        <f t="shared" si="0"/>
        <v>0.65</v>
      </c>
      <c r="J34" s="37"/>
    </row>
    <row r="35" spans="1:10" s="59" customFormat="1" ht="54" customHeight="1">
      <c r="A35" s="35"/>
      <c r="B35"/>
      <c r="C35"/>
      <c r="D35" s="802" t="s">
        <v>663</v>
      </c>
      <c r="E35" s="53">
        <f>SUM(E9:E34)</f>
        <v>10.349999999999998</v>
      </c>
      <c r="F35" s="85"/>
      <c r="H35"/>
    </row>
    <row r="36" spans="1:10">
      <c r="A36" s="842"/>
      <c r="B36" s="842"/>
      <c r="C36" s="842"/>
      <c r="D36" s="842"/>
      <c r="E36" s="842"/>
    </row>
    <row r="37" spans="1:10" ht="15" customHeight="1">
      <c r="A37" s="190"/>
      <c r="B37" s="61"/>
      <c r="C37" s="61"/>
      <c r="D37" s="61"/>
      <c r="E37" s="61"/>
      <c r="G37" s="38"/>
      <c r="H37" s="38"/>
    </row>
    <row r="38" spans="1:10">
      <c r="A38" s="683" t="s">
        <v>288</v>
      </c>
    </row>
    <row r="39" spans="1:10">
      <c r="A39" s="190"/>
      <c r="E39" s="59"/>
    </row>
    <row r="40" spans="1:10">
      <c r="A40" s="501"/>
      <c r="B40" s="502"/>
      <c r="C40" s="510"/>
      <c r="D40" s="502"/>
      <c r="E40" s="503"/>
    </row>
    <row r="41" spans="1:10">
      <c r="A41" s="504"/>
      <c r="B41" s="505"/>
      <c r="C41" s="504"/>
      <c r="D41" s="505"/>
      <c r="E41" s="506"/>
    </row>
    <row r="42" spans="1:10">
      <c r="A42" s="504"/>
      <c r="B42" s="505"/>
      <c r="C42" s="504"/>
      <c r="D42" s="505"/>
      <c r="E42" s="506"/>
    </row>
    <row r="43" spans="1:10">
      <c r="A43" s="504"/>
      <c r="B43" s="505"/>
      <c r="C43" s="504"/>
      <c r="D43" s="505"/>
      <c r="E43" s="506"/>
    </row>
    <row r="44" spans="1:10">
      <c r="A44" s="504"/>
      <c r="B44" s="505"/>
      <c r="C44" s="504"/>
      <c r="D44" s="505"/>
      <c r="E44" s="506"/>
    </row>
    <row r="45" spans="1:10">
      <c r="A45" s="504"/>
      <c r="B45" s="505"/>
      <c r="C45" s="504"/>
      <c r="D45" s="505"/>
      <c r="E45" s="506"/>
    </row>
    <row r="46" spans="1:10">
      <c r="A46" s="504"/>
      <c r="B46" s="505"/>
      <c r="C46" s="504"/>
      <c r="D46" s="505"/>
      <c r="E46" s="506"/>
    </row>
    <row r="47" spans="1:10">
      <c r="A47" s="504"/>
      <c r="B47" s="505"/>
      <c r="C47" s="504"/>
      <c r="D47" s="505"/>
      <c r="E47" s="506"/>
    </row>
    <row r="48" spans="1:10">
      <c r="A48" s="504"/>
      <c r="B48" s="505"/>
      <c r="C48" s="504"/>
      <c r="D48" s="505"/>
      <c r="E48" s="506"/>
    </row>
    <row r="49" spans="1:5">
      <c r="A49" s="504"/>
      <c r="B49" s="505"/>
      <c r="C49" s="504"/>
      <c r="D49" s="505"/>
      <c r="E49" s="506"/>
    </row>
    <row r="50" spans="1:5">
      <c r="A50" s="504"/>
      <c r="B50" s="505"/>
      <c r="C50" s="504"/>
      <c r="D50" s="505"/>
      <c r="E50" s="506"/>
    </row>
    <row r="51" spans="1:5">
      <c r="A51" s="504"/>
      <c r="B51" s="505"/>
      <c r="C51" s="504"/>
      <c r="D51" s="505"/>
      <c r="E51" s="506"/>
    </row>
    <row r="52" spans="1:5">
      <c r="A52" s="504"/>
      <c r="B52" s="505"/>
      <c r="C52" s="504"/>
      <c r="D52" s="505"/>
      <c r="E52" s="506"/>
    </row>
    <row r="53" spans="1:5">
      <c r="A53" s="504"/>
      <c r="B53" s="505"/>
      <c r="C53" s="504"/>
      <c r="D53" s="505"/>
      <c r="E53" s="506"/>
    </row>
    <row r="54" spans="1:5">
      <c r="A54" s="504"/>
      <c r="B54" s="505"/>
      <c r="C54" s="504"/>
      <c r="D54" s="505"/>
      <c r="E54" s="506"/>
    </row>
    <row r="55" spans="1:5">
      <c r="A55" s="504"/>
      <c r="B55" s="505"/>
      <c r="C55" s="504"/>
      <c r="D55" s="505"/>
      <c r="E55" s="506"/>
    </row>
    <row r="56" spans="1:5">
      <c r="A56" s="504"/>
      <c r="B56" s="505"/>
      <c r="C56" s="504"/>
      <c r="D56" s="505"/>
      <c r="E56" s="506"/>
    </row>
    <row r="57" spans="1:5">
      <c r="A57" s="504"/>
      <c r="B57" s="505"/>
      <c r="C57" s="504"/>
      <c r="D57" s="505"/>
      <c r="E57" s="506"/>
    </row>
    <row r="58" spans="1:5">
      <c r="A58" s="504"/>
      <c r="B58" s="505"/>
      <c r="C58" s="504"/>
      <c r="D58" s="505"/>
      <c r="E58" s="506"/>
    </row>
    <row r="59" spans="1:5">
      <c r="A59" s="504"/>
      <c r="B59" s="505"/>
      <c r="C59" s="504"/>
      <c r="D59" s="505"/>
      <c r="E59" s="506"/>
    </row>
    <row r="60" spans="1:5">
      <c r="A60" s="504"/>
      <c r="B60" s="505"/>
      <c r="C60" s="504"/>
      <c r="D60" s="505"/>
      <c r="E60" s="506"/>
    </row>
    <row r="61" spans="1:5">
      <c r="A61" s="507"/>
      <c r="B61" s="508"/>
      <c r="C61" s="507"/>
      <c r="D61" s="508"/>
      <c r="E61" s="509"/>
    </row>
  </sheetData>
  <mergeCells count="12">
    <mergeCell ref="A36:E36"/>
    <mergeCell ref="A18:B18"/>
    <mergeCell ref="A11:B11"/>
    <mergeCell ref="A12:B12"/>
    <mergeCell ref="A13:B13"/>
    <mergeCell ref="A16:B16"/>
    <mergeCell ref="A17:B17"/>
    <mergeCell ref="A9:B9"/>
    <mergeCell ref="A10:B10"/>
    <mergeCell ref="A14:B14"/>
    <mergeCell ref="C7:E7"/>
    <mergeCell ref="A15:B15"/>
  </mergeCells>
  <phoneticPr fontId="35" type="noConversion"/>
  <hyperlinks>
    <hyperlink ref="A38" r:id="rId1"/>
  </hyperlinks>
  <printOptions horizontalCentered="1"/>
  <pageMargins left="0.74803149606299213" right="0.74803149606299213" top="0.86614173228346458" bottom="0.27559055118110237" header="0" footer="0"/>
  <pageSetup paperSize="9" scale="67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/>
  </sheetViews>
  <sheetFormatPr baseColWidth="10" defaultColWidth="11.5546875" defaultRowHeight="15"/>
  <cols>
    <col min="1" max="1" width="23.88671875" style="190" customWidth="1"/>
    <col min="2" max="2" width="19.5546875" style="190" customWidth="1"/>
    <col min="3" max="3" width="11.44140625" style="190" customWidth="1"/>
    <col min="4" max="4" width="9" style="190" customWidth="1"/>
    <col min="5" max="5" width="14.5546875" style="190" customWidth="1"/>
    <col min="6" max="6" width="19.77734375" style="190" customWidth="1"/>
    <col min="7" max="16384" width="11.5546875" style="190"/>
  </cols>
  <sheetData>
    <row r="1" spans="1:12" ht="46.5">
      <c r="A1" s="207" t="s">
        <v>581</v>
      </c>
      <c r="B1" s="206"/>
      <c r="C1" s="206"/>
      <c r="D1" s="206"/>
      <c r="E1" s="206"/>
    </row>
    <row r="2" spans="1:12" ht="15.75">
      <c r="A2" s="191"/>
      <c r="B2" s="189"/>
      <c r="C2" s="189"/>
      <c r="D2" s="189"/>
      <c r="E2" s="189"/>
      <c r="G2" s="189"/>
      <c r="H2" s="189"/>
      <c r="I2" s="189"/>
      <c r="J2" s="189"/>
      <c r="K2" s="189"/>
      <c r="L2" s="189"/>
    </row>
    <row r="3" spans="1:12" ht="15.75">
      <c r="A3" s="191"/>
      <c r="B3" s="189"/>
      <c r="C3" s="189"/>
      <c r="D3" s="189"/>
      <c r="E3" s="189"/>
      <c r="G3" s="189"/>
      <c r="H3" s="189"/>
      <c r="I3" s="189"/>
      <c r="J3" s="189"/>
      <c r="K3" s="189"/>
      <c r="L3" s="189"/>
    </row>
    <row r="4" spans="1:12" ht="31.5">
      <c r="A4" s="205" t="s">
        <v>638</v>
      </c>
      <c r="B4" s="206"/>
      <c r="C4" s="206"/>
      <c r="D4" s="206"/>
      <c r="E4" s="206"/>
    </row>
    <row r="5" spans="1:12" ht="15.75">
      <c r="A5" s="192"/>
      <c r="B5" s="192"/>
      <c r="C5" s="204"/>
      <c r="D5" s="192"/>
    </row>
    <row r="6" spans="1:12" ht="15.75">
      <c r="A6" s="192"/>
      <c r="B6" s="192"/>
      <c r="C6" s="204"/>
      <c r="D6" s="192"/>
    </row>
    <row r="7" spans="1:12" ht="15.75">
      <c r="A7" s="210" t="str">
        <f>+CONCATENATE("Actualizado al ",TEXT(Historico!O5,"dd/mmmm/yyyy"))</f>
        <v>Actualizado al 04/diciembre/2012</v>
      </c>
      <c r="B7" s="211"/>
      <c r="C7" s="211"/>
      <c r="D7" s="211"/>
      <c r="E7" s="211"/>
    </row>
    <row r="8" spans="1:12" ht="15.75">
      <c r="A8" s="193"/>
      <c r="B8" s="194"/>
      <c r="D8" s="195"/>
      <c r="E8" s="195"/>
    </row>
    <row r="9" spans="1:12" ht="144.75" customHeight="1">
      <c r="A9" s="209" t="s">
        <v>284</v>
      </c>
      <c r="B9" s="196" t="s">
        <v>625</v>
      </c>
      <c r="C9" s="196" t="s">
        <v>670</v>
      </c>
      <c r="D9" s="197" t="s">
        <v>193</v>
      </c>
      <c r="E9" s="196" t="s">
        <v>89</v>
      </c>
    </row>
    <row r="10" spans="1:12" ht="143.25" customHeight="1">
      <c r="A10" s="208" t="s">
        <v>285</v>
      </c>
      <c r="B10" s="208" t="s">
        <v>353</v>
      </c>
      <c r="C10" s="539">
        <v>0.47270000000000001</v>
      </c>
      <c r="D10" s="198">
        <f>+Factores!F78</f>
        <v>0.83550000000000002</v>
      </c>
      <c r="E10" s="420">
        <f>ROUND(D10*C10,4)</f>
        <v>0.39489999999999997</v>
      </c>
    </row>
    <row r="11" spans="1:12" ht="143.25" customHeight="1">
      <c r="A11" s="208" t="s">
        <v>286</v>
      </c>
      <c r="B11" s="208" t="s">
        <v>287</v>
      </c>
      <c r="C11" s="539">
        <v>1.6987000000000001</v>
      </c>
      <c r="D11" s="198">
        <f>+D10</f>
        <v>0.83550000000000002</v>
      </c>
      <c r="E11" s="420">
        <f>ROUND(D11*C11,4)</f>
        <v>1.4193</v>
      </c>
    </row>
    <row r="12" spans="1:12">
      <c r="A12" s="202"/>
      <c r="B12" s="202"/>
      <c r="C12" s="203"/>
      <c r="D12" s="203"/>
      <c r="E12" s="203"/>
    </row>
    <row r="13" spans="1:12" ht="30">
      <c r="A13" s="200" t="s">
        <v>289</v>
      </c>
      <c r="B13" s="201"/>
      <c r="C13" s="201"/>
      <c r="D13" s="201"/>
      <c r="E13" s="201"/>
    </row>
    <row r="15" spans="1:12" ht="30">
      <c r="A15" s="200" t="s">
        <v>290</v>
      </c>
      <c r="B15" s="201"/>
      <c r="C15" s="201"/>
      <c r="D15" s="201"/>
      <c r="E15" s="20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6"/>
  <sheetViews>
    <sheetView showGridLines="0" zoomScaleNormal="100" workbookViewId="0"/>
  </sheetViews>
  <sheetFormatPr baseColWidth="10" defaultColWidth="11.5546875" defaultRowHeight="15"/>
  <cols>
    <col min="1" max="1" width="25.21875" customWidth="1"/>
    <col min="2" max="2" width="28.88671875" customWidth="1"/>
    <col min="3" max="4" width="23.5546875" customWidth="1"/>
    <col min="5" max="5" width="19.88671875" customWidth="1"/>
    <col min="6" max="7" width="14.109375" bestFit="1" customWidth="1"/>
    <col min="8" max="8" width="14.5546875" customWidth="1"/>
    <col min="9" max="9" width="16.109375" customWidth="1"/>
    <col min="10" max="10" width="14" customWidth="1"/>
  </cols>
  <sheetData>
    <row r="1" spans="1:21" ht="26.25">
      <c r="A1" s="71" t="s">
        <v>582</v>
      </c>
      <c r="B1" s="67"/>
      <c r="C1" s="67"/>
      <c r="D1" s="67"/>
      <c r="E1" s="67"/>
      <c r="F1" s="67"/>
      <c r="G1" s="67"/>
    </row>
    <row r="2" spans="1:21" ht="26.25">
      <c r="A2" s="70"/>
      <c r="B2" s="67"/>
      <c r="C2" s="67"/>
      <c r="D2" s="67"/>
      <c r="E2" s="67"/>
      <c r="F2" s="67"/>
      <c r="G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s="199" customFormat="1" ht="69.75" customHeight="1">
      <c r="B3" s="224" t="s">
        <v>732</v>
      </c>
      <c r="C3" s="224"/>
      <c r="D3" s="224"/>
      <c r="E3" s="224"/>
    </row>
    <row r="4" spans="1:21" s="199" customFormat="1" ht="15" customHeight="1">
      <c r="B4" s="225"/>
      <c r="C4" s="225"/>
      <c r="D4" s="225"/>
      <c r="E4" s="225"/>
      <c r="F4" s="397"/>
    </row>
    <row r="5" spans="1:21" s="199" customFormat="1" ht="20.25">
      <c r="A5" s="213"/>
      <c r="B5" s="395" t="str">
        <f>+CONCATENATE("Actualizado al ",TEXT(Historico!O5,"dd/mmmm/yyyy"))</f>
        <v>Actualizado al 04/diciembre/2012</v>
      </c>
      <c r="C5" s="396"/>
      <c r="D5" s="396"/>
      <c r="E5" s="396"/>
    </row>
    <row r="6" spans="1:21" s="199" customFormat="1" ht="15.75">
      <c r="A6" s="213"/>
      <c r="B6" s="242"/>
      <c r="C6" s="213"/>
      <c r="D6" s="213"/>
      <c r="E6" s="213"/>
    </row>
    <row r="7" spans="1:21" s="199" customFormat="1" ht="15.75">
      <c r="A7" s="213"/>
      <c r="B7" s="444" t="s">
        <v>627</v>
      </c>
      <c r="C7" s="445"/>
      <c r="D7" s="445"/>
      <c r="E7" s="445"/>
    </row>
    <row r="8" spans="1:21" s="199" customFormat="1" ht="15.75">
      <c r="A8" s="213"/>
      <c r="B8" s="427"/>
      <c r="C8" s="213"/>
      <c r="D8" s="213"/>
      <c r="E8" s="213"/>
    </row>
    <row r="9" spans="1:21" s="199" customFormat="1" ht="15.75">
      <c r="B9" s="197" t="s">
        <v>192</v>
      </c>
      <c r="C9" s="226" t="s">
        <v>195</v>
      </c>
      <c r="D9" s="226" t="s">
        <v>194</v>
      </c>
      <c r="E9" s="197" t="s">
        <v>89</v>
      </c>
    </row>
    <row r="10" spans="1:21" s="199" customFormat="1">
      <c r="B10" s="430">
        <v>1</v>
      </c>
      <c r="C10" s="431" t="s">
        <v>197</v>
      </c>
      <c r="D10" s="431" t="s">
        <v>196</v>
      </c>
      <c r="E10" s="236">
        <f>+SST!G33</f>
        <v>1.3713</v>
      </c>
    </row>
    <row r="11" spans="1:21" s="199" customFormat="1">
      <c r="B11" s="432">
        <v>2</v>
      </c>
      <c r="C11" s="433" t="s">
        <v>199</v>
      </c>
      <c r="D11" s="433" t="s">
        <v>198</v>
      </c>
      <c r="E11" s="238">
        <f>+SST!G38</f>
        <v>1.4171999999999998</v>
      </c>
    </row>
    <row r="12" spans="1:21" s="199" customFormat="1">
      <c r="B12" s="432">
        <v>3</v>
      </c>
      <c r="C12" s="433" t="s">
        <v>201</v>
      </c>
      <c r="D12" s="433" t="s">
        <v>200</v>
      </c>
      <c r="E12" s="238">
        <f>+SST!G43</f>
        <v>1.1316999999999999</v>
      </c>
    </row>
    <row r="13" spans="1:21" s="199" customFormat="1">
      <c r="B13" s="432">
        <v>4</v>
      </c>
      <c r="C13" s="433" t="s">
        <v>203</v>
      </c>
      <c r="D13" s="433" t="s">
        <v>202</v>
      </c>
      <c r="E13" s="238">
        <f>+SST!G46</f>
        <v>4.3726000000000003</v>
      </c>
    </row>
    <row r="14" spans="1:21" s="199" customFormat="1">
      <c r="B14" s="432">
        <v>5</v>
      </c>
      <c r="C14" s="433" t="s">
        <v>205</v>
      </c>
      <c r="D14" s="433" t="s">
        <v>204</v>
      </c>
      <c r="E14" s="238">
        <f>+SST!G54</f>
        <v>2.3926999999999996</v>
      </c>
    </row>
    <row r="15" spans="1:21" s="199" customFormat="1">
      <c r="B15" s="432">
        <v>6</v>
      </c>
      <c r="C15" s="433" t="s">
        <v>207</v>
      </c>
      <c r="D15" s="433" t="s">
        <v>206</v>
      </c>
      <c r="E15" s="238">
        <f>+SST!G62</f>
        <v>1.7124000000000001</v>
      </c>
    </row>
    <row r="16" spans="1:21" s="199" customFormat="1">
      <c r="B16" s="432">
        <v>7</v>
      </c>
      <c r="C16" s="433" t="s">
        <v>209</v>
      </c>
      <c r="D16" s="433" t="s">
        <v>208</v>
      </c>
      <c r="E16" s="238">
        <f>+SST!G67</f>
        <v>1.5752999999999999</v>
      </c>
    </row>
    <row r="17" spans="1:10" s="199" customFormat="1">
      <c r="B17" s="432">
        <v>8</v>
      </c>
      <c r="C17" s="433" t="s">
        <v>211</v>
      </c>
      <c r="D17" s="433" t="s">
        <v>210</v>
      </c>
      <c r="E17" s="238">
        <f>+SST!G76</f>
        <v>2.1751999999999998</v>
      </c>
    </row>
    <row r="18" spans="1:10" s="199" customFormat="1">
      <c r="B18" s="432">
        <v>9</v>
      </c>
      <c r="C18" s="433" t="s">
        <v>213</v>
      </c>
      <c r="D18" s="433" t="s">
        <v>212</v>
      </c>
      <c r="E18" s="238">
        <f>+SST!G82</f>
        <v>1.0256000000000001</v>
      </c>
    </row>
    <row r="19" spans="1:10" s="199" customFormat="1">
      <c r="B19" s="432">
        <v>10</v>
      </c>
      <c r="C19" s="433" t="s">
        <v>215</v>
      </c>
      <c r="D19" s="433" t="s">
        <v>214</v>
      </c>
      <c r="E19" s="238">
        <f>+SST!G86</f>
        <v>1.7983</v>
      </c>
    </row>
    <row r="20" spans="1:10" s="199" customFormat="1">
      <c r="B20" s="432">
        <v>11</v>
      </c>
      <c r="C20" s="433" t="s">
        <v>209</v>
      </c>
      <c r="D20" s="433" t="s">
        <v>216</v>
      </c>
      <c r="E20" s="238">
        <f>+SST!G89</f>
        <v>2.1702000000000004</v>
      </c>
    </row>
    <row r="21" spans="1:10" s="199" customFormat="1">
      <c r="B21" s="432">
        <v>12</v>
      </c>
      <c r="C21" s="433" t="s">
        <v>218</v>
      </c>
      <c r="D21" s="433" t="s">
        <v>217</v>
      </c>
      <c r="E21" s="238">
        <f>+SST!G93</f>
        <v>1.7753999999999999</v>
      </c>
    </row>
    <row r="22" spans="1:10" s="199" customFormat="1">
      <c r="B22" s="432">
        <v>13</v>
      </c>
      <c r="C22" s="433" t="s">
        <v>219</v>
      </c>
      <c r="D22" s="433" t="s">
        <v>217</v>
      </c>
      <c r="E22" s="238">
        <f>+SST!G96</f>
        <v>0.93669999999999998</v>
      </c>
    </row>
    <row r="23" spans="1:10" s="199" customFormat="1">
      <c r="B23" s="432">
        <v>14</v>
      </c>
      <c r="C23" s="433"/>
      <c r="D23" s="433" t="s">
        <v>220</v>
      </c>
      <c r="E23" s="238">
        <f>+SST!G98</f>
        <v>0.88480000000000003</v>
      </c>
    </row>
    <row r="24" spans="1:10" s="199" customFormat="1">
      <c r="B24" s="434">
        <v>15</v>
      </c>
      <c r="C24" s="435" t="s">
        <v>209</v>
      </c>
      <c r="D24" s="435"/>
      <c r="E24" s="239">
        <f>+SST!G100</f>
        <v>6.4000000000000001E-2</v>
      </c>
    </row>
    <row r="25" spans="1:10" s="199" customFormat="1" ht="15.75">
      <c r="A25" s="212"/>
      <c r="B25" s="228"/>
      <c r="C25" s="213"/>
      <c r="D25" s="214"/>
      <c r="E25" s="213"/>
      <c r="F25" s="213"/>
      <c r="G25" s="214"/>
      <c r="H25" s="214"/>
      <c r="I25" s="214"/>
      <c r="J25" s="229"/>
    </row>
    <row r="26" spans="1:10" s="199" customFormat="1" ht="15.75">
      <c r="A26" s="428" t="s">
        <v>626</v>
      </c>
      <c r="I26" s="229"/>
    </row>
    <row r="27" spans="1:10" s="199" customFormat="1" ht="15.75">
      <c r="A27" s="428"/>
      <c r="E27" s="230" t="s">
        <v>281</v>
      </c>
      <c r="F27" s="231" t="s">
        <v>282</v>
      </c>
      <c r="G27" s="231" t="s">
        <v>283</v>
      </c>
      <c r="I27" s="229"/>
    </row>
    <row r="28" spans="1:10" s="199" customFormat="1" ht="31.5">
      <c r="A28" s="232" t="s">
        <v>105</v>
      </c>
      <c r="B28" s="233" t="s">
        <v>107</v>
      </c>
      <c r="C28" s="234" t="s">
        <v>628</v>
      </c>
      <c r="D28" s="234" t="s">
        <v>629</v>
      </c>
      <c r="E28" s="234" t="s">
        <v>630</v>
      </c>
      <c r="F28" s="234" t="s">
        <v>222</v>
      </c>
      <c r="G28" s="234" t="s">
        <v>630</v>
      </c>
      <c r="H28" s="215"/>
    </row>
    <row r="29" spans="1:10" s="199" customFormat="1">
      <c r="A29" s="216">
        <v>1</v>
      </c>
      <c r="B29" s="109" t="s">
        <v>223</v>
      </c>
      <c r="C29" s="443">
        <v>0.1158</v>
      </c>
      <c r="D29" s="236">
        <f>+Factores!F63</f>
        <v>1.0378000000000001</v>
      </c>
      <c r="E29" s="235">
        <f>+ROUND(C29*D29,4)</f>
        <v>0.1202</v>
      </c>
      <c r="F29" s="443">
        <v>-2E-3</v>
      </c>
      <c r="G29" s="235">
        <f>+F29+E29</f>
        <v>0.1182</v>
      </c>
      <c r="H29" s="215"/>
    </row>
    <row r="30" spans="1:10" s="199" customFormat="1">
      <c r="A30" s="217" t="s">
        <v>224</v>
      </c>
      <c r="B30" s="110" t="s">
        <v>225</v>
      </c>
      <c r="C30" s="436">
        <v>0.96819999999999995</v>
      </c>
      <c r="D30" s="238">
        <f>+D29</f>
        <v>1.0378000000000001</v>
      </c>
      <c r="E30" s="237">
        <f>+ROUND(C30*D30,4)</f>
        <v>1.0047999999999999</v>
      </c>
      <c r="F30" s="436">
        <v>-0.1055</v>
      </c>
      <c r="G30" s="237">
        <f>+F30+E30</f>
        <v>0.89929999999999988</v>
      </c>
      <c r="H30" s="215"/>
    </row>
    <row r="31" spans="1:10" s="199" customFormat="1">
      <c r="A31" s="217" t="s">
        <v>224</v>
      </c>
      <c r="B31" s="110" t="s">
        <v>226</v>
      </c>
      <c r="C31" s="436">
        <v>1.52E-2</v>
      </c>
      <c r="D31" s="238">
        <f>+D30</f>
        <v>1.0378000000000001</v>
      </c>
      <c r="E31" s="237">
        <f>+ROUND(C31*D31,4)</f>
        <v>1.5800000000000002E-2</v>
      </c>
      <c r="F31" s="436">
        <v>-2.9999999999999997E-4</v>
      </c>
      <c r="G31" s="237">
        <f>+F31+E31</f>
        <v>1.5500000000000002E-2</v>
      </c>
      <c r="H31" s="215"/>
    </row>
    <row r="32" spans="1:10" s="199" customFormat="1">
      <c r="A32" s="217" t="s">
        <v>224</v>
      </c>
      <c r="B32" s="110" t="s">
        <v>209</v>
      </c>
      <c r="C32" s="436">
        <v>0.29699999999999999</v>
      </c>
      <c r="D32" s="238">
        <f>+D31</f>
        <v>1.0378000000000001</v>
      </c>
      <c r="E32" s="237">
        <f>+ROUND(C32*D32,4)</f>
        <v>0.30819999999999997</v>
      </c>
      <c r="F32" s="436">
        <v>3.0099999999999998E-2</v>
      </c>
      <c r="G32" s="237">
        <f>+F32+E32</f>
        <v>0.33829999999999999</v>
      </c>
      <c r="H32" s="215"/>
    </row>
    <row r="33" spans="1:8" s="199" customFormat="1" ht="15.75">
      <c r="A33" s="437" t="s">
        <v>224</v>
      </c>
      <c r="B33" s="438" t="s">
        <v>227</v>
      </c>
      <c r="C33" s="429">
        <f>SUM(C29:C32)</f>
        <v>1.3961999999999999</v>
      </c>
      <c r="D33" s="439"/>
      <c r="E33" s="429">
        <f>SUM(E29:E32)</f>
        <v>1.4490000000000001</v>
      </c>
      <c r="F33" s="429">
        <f>SUM(F29:F32)</f>
        <v>-7.7699999999999991E-2</v>
      </c>
      <c r="G33" s="429">
        <f>SUM(G29:G32)</f>
        <v>1.3713</v>
      </c>
      <c r="H33" s="215"/>
    </row>
    <row r="34" spans="1:8" s="199" customFormat="1">
      <c r="A34" s="218">
        <v>2</v>
      </c>
      <c r="B34" s="109" t="s">
        <v>223</v>
      </c>
      <c r="C34" s="443">
        <v>0.29189999999999999</v>
      </c>
      <c r="D34" s="236">
        <f>+Factores!F64</f>
        <v>1.0489999999999999</v>
      </c>
      <c r="E34" s="235">
        <f>+ROUND(C34*D34,4)</f>
        <v>0.30620000000000003</v>
      </c>
      <c r="F34" s="443">
        <v>-1.3899999999999999E-2</v>
      </c>
      <c r="G34" s="235">
        <f>+F34+E34</f>
        <v>0.2923</v>
      </c>
      <c r="H34" s="215"/>
    </row>
    <row r="35" spans="1:8" s="199" customFormat="1">
      <c r="A35" s="217" t="s">
        <v>224</v>
      </c>
      <c r="B35" s="110" t="s">
        <v>228</v>
      </c>
      <c r="C35" s="436">
        <v>0.3584</v>
      </c>
      <c r="D35" s="238">
        <f>+D34</f>
        <v>1.0489999999999999</v>
      </c>
      <c r="E35" s="237">
        <f>+ROUND(C35*D35,4)</f>
        <v>0.376</v>
      </c>
      <c r="F35" s="436">
        <v>-1.3899999999999999E-2</v>
      </c>
      <c r="G35" s="237">
        <f>+F35+E35</f>
        <v>0.36209999999999998</v>
      </c>
      <c r="H35" s="215"/>
    </row>
    <row r="36" spans="1:8" s="199" customFormat="1">
      <c r="A36" s="217" t="s">
        <v>224</v>
      </c>
      <c r="B36" s="110" t="s">
        <v>229</v>
      </c>
      <c r="C36" s="436">
        <v>0.86229999999999996</v>
      </c>
      <c r="D36" s="238">
        <f>+D35</f>
        <v>1.0489999999999999</v>
      </c>
      <c r="E36" s="237">
        <f>+ROUND(C36*D36,4)</f>
        <v>0.90459999999999996</v>
      </c>
      <c r="F36" s="436">
        <v>-0.16700000000000001</v>
      </c>
      <c r="G36" s="237">
        <f>+F36+E36</f>
        <v>0.73759999999999992</v>
      </c>
      <c r="H36" s="215"/>
    </row>
    <row r="37" spans="1:8" s="199" customFormat="1">
      <c r="A37" s="217" t="s">
        <v>224</v>
      </c>
      <c r="B37" s="110" t="s">
        <v>209</v>
      </c>
      <c r="C37" s="436">
        <v>2.52E-2</v>
      </c>
      <c r="D37" s="238">
        <f>+D36</f>
        <v>1.0489999999999999</v>
      </c>
      <c r="E37" s="237">
        <f>+ROUND(C37*D37,4)</f>
        <v>2.64E-2</v>
      </c>
      <c r="F37" s="436">
        <v>-1.1999999999999999E-3</v>
      </c>
      <c r="G37" s="237">
        <f>+F37+E37</f>
        <v>2.52E-2</v>
      </c>
      <c r="H37" s="215"/>
    </row>
    <row r="38" spans="1:8" s="199" customFormat="1" ht="15.75">
      <c r="A38" s="437" t="s">
        <v>224</v>
      </c>
      <c r="B38" s="438" t="s">
        <v>227</v>
      </c>
      <c r="C38" s="429">
        <f>SUM(C34:C37)</f>
        <v>1.5377999999999998</v>
      </c>
      <c r="D38" s="439"/>
      <c r="E38" s="429">
        <f>SUM(E34:E37)</f>
        <v>1.6132</v>
      </c>
      <c r="F38" s="429">
        <f>SUM(F34:F37)</f>
        <v>-0.19600000000000001</v>
      </c>
      <c r="G38" s="429">
        <f>SUM(G34:G37)</f>
        <v>1.4171999999999998</v>
      </c>
      <c r="H38" s="215"/>
    </row>
    <row r="39" spans="1:8" s="199" customFormat="1">
      <c r="A39" s="218">
        <v>3</v>
      </c>
      <c r="B39" s="109" t="s">
        <v>230</v>
      </c>
      <c r="C39" s="443">
        <v>8.2000000000000007E-3</v>
      </c>
      <c r="D39" s="236">
        <f>+Factores!F65</f>
        <v>1.0371999999999999</v>
      </c>
      <c r="E39" s="235">
        <f>+ROUND(C39*D39,4)</f>
        <v>8.5000000000000006E-3</v>
      </c>
      <c r="F39" s="443">
        <v>-2.9999999999999997E-4</v>
      </c>
      <c r="G39" s="235">
        <f>+F39+E39</f>
        <v>8.2000000000000007E-3</v>
      </c>
      <c r="H39" s="215"/>
    </row>
    <row r="40" spans="1:8" s="199" customFormat="1">
      <c r="A40" s="217" t="s">
        <v>224</v>
      </c>
      <c r="B40" s="110" t="s">
        <v>231</v>
      </c>
      <c r="C40" s="436">
        <v>4.5999999999999999E-2</v>
      </c>
      <c r="D40" s="238">
        <f>+D39</f>
        <v>1.0371999999999999</v>
      </c>
      <c r="E40" s="237">
        <f>+ROUND(C40*D40,4)</f>
        <v>4.7699999999999999E-2</v>
      </c>
      <c r="F40" s="436">
        <v>-2.5999999999999999E-3</v>
      </c>
      <c r="G40" s="237">
        <f>+F40+E40</f>
        <v>4.5100000000000001E-2</v>
      </c>
      <c r="H40" s="215"/>
    </row>
    <row r="41" spans="1:8" s="199" customFormat="1">
      <c r="A41" s="217" t="s">
        <v>224</v>
      </c>
      <c r="B41" s="110" t="s">
        <v>232</v>
      </c>
      <c r="C41" s="436">
        <v>0.99399999999999999</v>
      </c>
      <c r="D41" s="238">
        <f>+D40</f>
        <v>1.0371999999999999</v>
      </c>
      <c r="E41" s="237">
        <f>+ROUND(C41*D41,4)</f>
        <v>1.0309999999999999</v>
      </c>
      <c r="F41" s="436">
        <v>-0.1028</v>
      </c>
      <c r="G41" s="237">
        <f>+F41+E41</f>
        <v>0.92819999999999991</v>
      </c>
      <c r="H41" s="215"/>
    </row>
    <row r="42" spans="1:8" s="199" customFormat="1">
      <c r="A42" s="217" t="s">
        <v>224</v>
      </c>
      <c r="B42" s="110" t="s">
        <v>209</v>
      </c>
      <c r="C42" s="436">
        <v>0.1258</v>
      </c>
      <c r="D42" s="238">
        <f>+D41</f>
        <v>1.0371999999999999</v>
      </c>
      <c r="E42" s="237">
        <f>+ROUND(C42*D42,4)</f>
        <v>0.1305</v>
      </c>
      <c r="F42" s="436">
        <v>1.9699999999999999E-2</v>
      </c>
      <c r="G42" s="237">
        <f>+F42+E42</f>
        <v>0.1502</v>
      </c>
      <c r="H42" s="215"/>
    </row>
    <row r="43" spans="1:8" s="199" customFormat="1" ht="15.75">
      <c r="A43" s="437" t="s">
        <v>224</v>
      </c>
      <c r="B43" s="438" t="s">
        <v>227</v>
      </c>
      <c r="C43" s="429">
        <f>SUM(C39:C42)</f>
        <v>1.1739999999999999</v>
      </c>
      <c r="D43" s="439"/>
      <c r="E43" s="429">
        <f>SUM(E39:E42)</f>
        <v>1.2177</v>
      </c>
      <c r="F43" s="429">
        <f>SUM(F39:F42)</f>
        <v>-8.6000000000000007E-2</v>
      </c>
      <c r="G43" s="429">
        <f>SUM(G39:G42)</f>
        <v>1.1316999999999999</v>
      </c>
      <c r="H43" s="215"/>
    </row>
    <row r="44" spans="1:8" s="199" customFormat="1">
      <c r="A44" s="218">
        <v>4</v>
      </c>
      <c r="B44" s="109" t="s">
        <v>233</v>
      </c>
      <c r="C44" s="443">
        <v>3.8149000000000002</v>
      </c>
      <c r="D44" s="236">
        <f>+Factores!F66</f>
        <v>1.0327</v>
      </c>
      <c r="E44" s="235">
        <f>+ROUND(C44*D44,4)</f>
        <v>3.9396</v>
      </c>
      <c r="F44" s="235">
        <v>0.51729999999999998</v>
      </c>
      <c r="G44" s="235">
        <f>+F44+E44</f>
        <v>4.4569000000000001</v>
      </c>
      <c r="H44" s="215"/>
    </row>
    <row r="45" spans="1:8" s="199" customFormat="1">
      <c r="A45" s="217" t="s">
        <v>224</v>
      </c>
      <c r="B45" s="110" t="s">
        <v>234</v>
      </c>
      <c r="C45" s="436">
        <v>0</v>
      </c>
      <c r="D45" s="238">
        <f>+D44</f>
        <v>1.0327</v>
      </c>
      <c r="E45" s="237">
        <f>+ROUND(C45*D45,4)</f>
        <v>0</v>
      </c>
      <c r="F45" s="237">
        <v>-8.43E-2</v>
      </c>
      <c r="G45" s="237">
        <f>+F45+E45</f>
        <v>-8.43E-2</v>
      </c>
      <c r="H45" s="215"/>
    </row>
    <row r="46" spans="1:8" s="199" customFormat="1" ht="15.75">
      <c r="A46" s="437" t="s">
        <v>224</v>
      </c>
      <c r="B46" s="438" t="s">
        <v>227</v>
      </c>
      <c r="C46" s="429">
        <f>SUM(C44:C45)</f>
        <v>3.8149000000000002</v>
      </c>
      <c r="D46" s="439"/>
      <c r="E46" s="429">
        <f>SUM(E44:E45)</f>
        <v>3.9396</v>
      </c>
      <c r="F46" s="429">
        <f>SUM(F44:F45)</f>
        <v>0.433</v>
      </c>
      <c r="G46" s="429">
        <f>SUM(G44:G45)</f>
        <v>4.3726000000000003</v>
      </c>
      <c r="H46" s="215"/>
    </row>
    <row r="47" spans="1:8" s="199" customFormat="1">
      <c r="A47" s="218">
        <v>5</v>
      </c>
      <c r="B47" s="109" t="s">
        <v>223</v>
      </c>
      <c r="C47" s="443">
        <v>7.9899999999999999E-2</v>
      </c>
      <c r="D47" s="236">
        <f>+Factores!F67</f>
        <v>1.0196000000000001</v>
      </c>
      <c r="E47" s="235">
        <f t="shared" ref="E47:E53" si="0">+ROUND(C47*D47,4)</f>
        <v>8.1500000000000003E-2</v>
      </c>
      <c r="F47" s="443">
        <v>4.7000000000000002E-3</v>
      </c>
      <c r="G47" s="235">
        <f t="shared" ref="G47:G53" si="1">+F47+E47</f>
        <v>8.6199999999999999E-2</v>
      </c>
      <c r="H47" s="215"/>
    </row>
    <row r="48" spans="1:8" s="199" customFormat="1">
      <c r="A48" s="217" t="s">
        <v>224</v>
      </c>
      <c r="B48" s="110" t="s">
        <v>235</v>
      </c>
      <c r="C48" s="436">
        <v>1.3299999999999999E-2</v>
      </c>
      <c r="D48" s="238">
        <f t="shared" ref="D48:D53" si="2">+D47</f>
        <v>1.0196000000000001</v>
      </c>
      <c r="E48" s="237">
        <f t="shared" si="0"/>
        <v>1.3599999999999999E-2</v>
      </c>
      <c r="F48" s="436">
        <v>5.9999999999999995E-4</v>
      </c>
      <c r="G48" s="237">
        <f t="shared" si="1"/>
        <v>1.4199999999999999E-2</v>
      </c>
      <c r="H48" s="215"/>
    </row>
    <row r="49" spans="1:11" s="199" customFormat="1">
      <c r="A49" s="217" t="s">
        <v>224</v>
      </c>
      <c r="B49" s="110" t="s">
        <v>114</v>
      </c>
      <c r="C49" s="436">
        <v>3.5299999999999998E-2</v>
      </c>
      <c r="D49" s="238">
        <f t="shared" si="2"/>
        <v>1.0196000000000001</v>
      </c>
      <c r="E49" s="237">
        <f t="shared" si="0"/>
        <v>3.5999999999999997E-2</v>
      </c>
      <c r="F49" s="436">
        <v>1.5E-3</v>
      </c>
      <c r="G49" s="237">
        <f t="shared" si="1"/>
        <v>3.7499999999999999E-2</v>
      </c>
      <c r="H49" s="215"/>
    </row>
    <row r="50" spans="1:11" s="199" customFormat="1">
      <c r="A50" s="217" t="s">
        <v>224</v>
      </c>
      <c r="B50" s="110" t="s">
        <v>236</v>
      </c>
      <c r="C50" s="436">
        <v>1.0663</v>
      </c>
      <c r="D50" s="238">
        <f t="shared" si="2"/>
        <v>1.0196000000000001</v>
      </c>
      <c r="E50" s="237">
        <f t="shared" si="0"/>
        <v>1.0871999999999999</v>
      </c>
      <c r="F50" s="436">
        <v>4.7500000000000001E-2</v>
      </c>
      <c r="G50" s="237">
        <f t="shared" si="1"/>
        <v>1.1347</v>
      </c>
      <c r="H50" s="215"/>
    </row>
    <row r="51" spans="1:11" s="199" customFormat="1">
      <c r="A51" s="217" t="s">
        <v>224</v>
      </c>
      <c r="B51" s="110" t="s">
        <v>237</v>
      </c>
      <c r="C51" s="436">
        <v>1.0902000000000001</v>
      </c>
      <c r="D51" s="238">
        <f t="shared" si="2"/>
        <v>1.0196000000000001</v>
      </c>
      <c r="E51" s="237">
        <f t="shared" si="0"/>
        <v>1.1115999999999999</v>
      </c>
      <c r="F51" s="436">
        <v>-8.4099999999999994E-2</v>
      </c>
      <c r="G51" s="237">
        <f t="shared" si="1"/>
        <v>1.0274999999999999</v>
      </c>
      <c r="H51" s="215"/>
    </row>
    <row r="52" spans="1:11" s="199" customFormat="1">
      <c r="A52" s="217" t="s">
        <v>224</v>
      </c>
      <c r="B52" s="110" t="s">
        <v>226</v>
      </c>
      <c r="C52" s="436">
        <v>1.01E-2</v>
      </c>
      <c r="D52" s="238">
        <f t="shared" si="2"/>
        <v>1.0196000000000001</v>
      </c>
      <c r="E52" s="237">
        <f t="shared" si="0"/>
        <v>1.03E-2</v>
      </c>
      <c r="F52" s="436">
        <v>4.0000000000000002E-4</v>
      </c>
      <c r="G52" s="237">
        <f t="shared" si="1"/>
        <v>1.0699999999999999E-2</v>
      </c>
      <c r="H52" s="215"/>
    </row>
    <row r="53" spans="1:11" s="199" customFormat="1">
      <c r="A53" s="217" t="s">
        <v>224</v>
      </c>
      <c r="B53" s="110" t="s">
        <v>209</v>
      </c>
      <c r="C53" s="436">
        <v>6.8400000000000002E-2</v>
      </c>
      <c r="D53" s="238">
        <f t="shared" si="2"/>
        <v>1.0196000000000001</v>
      </c>
      <c r="E53" s="237">
        <f t="shared" si="0"/>
        <v>6.9699999999999998E-2</v>
      </c>
      <c r="F53" s="436">
        <v>1.2200000000000001E-2</v>
      </c>
      <c r="G53" s="237">
        <f t="shared" si="1"/>
        <v>8.1900000000000001E-2</v>
      </c>
      <c r="H53" s="215"/>
    </row>
    <row r="54" spans="1:11" s="199" customFormat="1" ht="15.75">
      <c r="A54" s="437" t="s">
        <v>224</v>
      </c>
      <c r="B54" s="438" t="s">
        <v>227</v>
      </c>
      <c r="C54" s="429">
        <f>SUM(C47:C53)</f>
        <v>2.3635000000000002</v>
      </c>
      <c r="D54" s="439"/>
      <c r="E54" s="429">
        <f>SUM(E47:E53)</f>
        <v>2.4098999999999999</v>
      </c>
      <c r="F54" s="429">
        <f>SUM(F47:F53)</f>
        <v>-1.7199999999999993E-2</v>
      </c>
      <c r="G54" s="429">
        <f>SUM(G47:G53)</f>
        <v>2.3926999999999996</v>
      </c>
      <c r="H54" s="215"/>
    </row>
    <row r="55" spans="1:11" s="199" customFormat="1">
      <c r="A55" s="219">
        <v>6</v>
      </c>
      <c r="B55" s="109" t="s">
        <v>223</v>
      </c>
      <c r="C55" s="443">
        <v>1.2999999999999999E-3</v>
      </c>
      <c r="D55" s="236">
        <f>+Factores!F68</f>
        <v>1.0044</v>
      </c>
      <c r="E55" s="235">
        <f t="shared" ref="E55:E61" si="3">+ROUND(C55*D55,4)</f>
        <v>1.2999999999999999E-3</v>
      </c>
      <c r="F55" s="443">
        <v>0</v>
      </c>
      <c r="G55" s="235">
        <f t="shared" ref="G55:G61" si="4">+F55+E55</f>
        <v>1.2999999999999999E-3</v>
      </c>
      <c r="H55" s="215"/>
    </row>
    <row r="56" spans="1:11" s="199" customFormat="1">
      <c r="A56" s="220" t="s">
        <v>224</v>
      </c>
      <c r="B56" s="110" t="s">
        <v>238</v>
      </c>
      <c r="C56" s="436">
        <v>1.1299999999999999E-2</v>
      </c>
      <c r="D56" s="238">
        <f>+D55</f>
        <v>1.0044</v>
      </c>
      <c r="E56" s="237">
        <f t="shared" si="3"/>
        <v>1.1299999999999999E-2</v>
      </c>
      <c r="F56" s="436">
        <v>-1E-4</v>
      </c>
      <c r="G56" s="237">
        <f t="shared" si="4"/>
        <v>1.12E-2</v>
      </c>
      <c r="H56" s="215"/>
    </row>
    <row r="57" spans="1:11" s="199" customFormat="1">
      <c r="A57" s="220" t="s">
        <v>224</v>
      </c>
      <c r="B57" s="110" t="s">
        <v>239</v>
      </c>
      <c r="C57" s="436">
        <v>1.1443000000000001</v>
      </c>
      <c r="D57" s="238">
        <f>+D56</f>
        <v>1.0044</v>
      </c>
      <c r="E57" s="237">
        <f t="shared" si="3"/>
        <v>1.1493</v>
      </c>
      <c r="F57" s="436">
        <v>-4.65E-2</v>
      </c>
      <c r="G57" s="237">
        <f t="shared" si="4"/>
        <v>1.1028</v>
      </c>
      <c r="H57" s="215"/>
    </row>
    <row r="58" spans="1:11" s="199" customFormat="1">
      <c r="A58" s="220" t="s">
        <v>224</v>
      </c>
      <c r="B58" s="110" t="s">
        <v>232</v>
      </c>
      <c r="C58" s="436">
        <v>3.0999999999999999E-3</v>
      </c>
      <c r="D58" s="238">
        <f>+D57</f>
        <v>1.0044</v>
      </c>
      <c r="E58" s="237">
        <f t="shared" si="3"/>
        <v>3.0999999999999999E-3</v>
      </c>
      <c r="F58" s="436">
        <v>0</v>
      </c>
      <c r="G58" s="237">
        <f t="shared" si="4"/>
        <v>3.0999999999999999E-3</v>
      </c>
      <c r="H58" s="215"/>
    </row>
    <row r="59" spans="1:11" s="199" customFormat="1">
      <c r="A59" s="220" t="s">
        <v>224</v>
      </c>
      <c r="B59" s="110" t="s">
        <v>209</v>
      </c>
      <c r="C59" s="436">
        <v>1.29E-2</v>
      </c>
      <c r="D59" s="238">
        <f>+D58</f>
        <v>1.0044</v>
      </c>
      <c r="E59" s="237">
        <f t="shared" si="3"/>
        <v>1.2999999999999999E-2</v>
      </c>
      <c r="F59" s="436">
        <v>-1E-4</v>
      </c>
      <c r="G59" s="237">
        <f t="shared" si="4"/>
        <v>1.29E-2</v>
      </c>
      <c r="H59" s="215"/>
    </row>
    <row r="60" spans="1:11" s="199" customFormat="1">
      <c r="A60" s="220" t="s">
        <v>224</v>
      </c>
      <c r="B60" s="110" t="s">
        <v>240</v>
      </c>
      <c r="C60" s="436">
        <v>7.1999999999999998E-3</v>
      </c>
      <c r="D60" s="238">
        <f>+D59</f>
        <v>1.0044</v>
      </c>
      <c r="E60" s="237">
        <f t="shared" si="3"/>
        <v>7.1999999999999998E-3</v>
      </c>
      <c r="F60" s="436">
        <v>-1E-4</v>
      </c>
      <c r="G60" s="237">
        <f t="shared" si="4"/>
        <v>7.0999999999999995E-3</v>
      </c>
      <c r="H60" s="215"/>
    </row>
    <row r="61" spans="1:11" s="199" customFormat="1">
      <c r="A61" s="220"/>
      <c r="B61" s="110" t="s">
        <v>463</v>
      </c>
      <c r="C61" s="436">
        <v>0.49199999999999999</v>
      </c>
      <c r="D61" s="238">
        <f>Factores!F84</f>
        <v>1.1667000000000001</v>
      </c>
      <c r="E61" s="237">
        <f t="shared" si="3"/>
        <v>0.57399999999999995</v>
      </c>
      <c r="F61" s="436">
        <v>0</v>
      </c>
      <c r="G61" s="237">
        <f t="shared" si="4"/>
        <v>0.57399999999999995</v>
      </c>
      <c r="H61" s="215"/>
    </row>
    <row r="62" spans="1:11" s="199" customFormat="1" ht="15.75">
      <c r="A62" s="437" t="s">
        <v>224</v>
      </c>
      <c r="B62" s="438" t="s">
        <v>227</v>
      </c>
      <c r="C62" s="429">
        <f>SUM(C55:C61)</f>
        <v>1.6721000000000001</v>
      </c>
      <c r="D62" s="439"/>
      <c r="E62" s="429">
        <f>SUM(E55:E61)</f>
        <v>1.7591999999999999</v>
      </c>
      <c r="F62" s="429">
        <f>SUM(F55:F61)</f>
        <v>-4.6800000000000008E-2</v>
      </c>
      <c r="G62" s="429">
        <f>SUM(G55:G61)</f>
        <v>1.7124000000000001</v>
      </c>
      <c r="H62" s="215"/>
      <c r="J62" s="221"/>
      <c r="K62" s="222"/>
    </row>
    <row r="63" spans="1:11" s="199" customFormat="1">
      <c r="A63" s="219">
        <v>7</v>
      </c>
      <c r="B63" s="109" t="s">
        <v>241</v>
      </c>
      <c r="C63" s="443">
        <v>2.3199999999999998E-2</v>
      </c>
      <c r="D63" s="236">
        <f>+Factores!F69</f>
        <v>1.0062</v>
      </c>
      <c r="E63" s="235">
        <f>+ROUND(C63*D63,4)</f>
        <v>2.3300000000000001E-2</v>
      </c>
      <c r="F63" s="443">
        <v>-4.4000000000000003E-3</v>
      </c>
      <c r="G63" s="235">
        <f>+F63+E63</f>
        <v>1.89E-2</v>
      </c>
      <c r="H63" s="215"/>
    </row>
    <row r="64" spans="1:11" s="199" customFormat="1">
      <c r="A64" s="220" t="s">
        <v>224</v>
      </c>
      <c r="B64" s="110" t="s">
        <v>242</v>
      </c>
      <c r="C64" s="436">
        <v>1.0987</v>
      </c>
      <c r="D64" s="238">
        <f>+D63</f>
        <v>1.0062</v>
      </c>
      <c r="E64" s="237">
        <f>+ROUND(C64*D64,4)</f>
        <v>1.1054999999999999</v>
      </c>
      <c r="F64" s="436">
        <v>-0.1348</v>
      </c>
      <c r="G64" s="237">
        <f>+F64+E64</f>
        <v>0.9706999999999999</v>
      </c>
      <c r="H64" s="215"/>
    </row>
    <row r="65" spans="1:8" s="199" customFormat="1">
      <c r="A65" s="220" t="s">
        <v>224</v>
      </c>
      <c r="B65" s="110" t="s">
        <v>209</v>
      </c>
      <c r="C65" s="436">
        <v>1.18E-2</v>
      </c>
      <c r="D65" s="238">
        <f>+D64</f>
        <v>1.0062</v>
      </c>
      <c r="E65" s="237">
        <f>+ROUND(C65*D65,4)</f>
        <v>1.1900000000000001E-2</v>
      </c>
      <c r="F65" s="436">
        <v>-2.0000000000000001E-4</v>
      </c>
      <c r="G65" s="237">
        <f>+F65+E65</f>
        <v>1.17E-2</v>
      </c>
      <c r="H65" s="215"/>
    </row>
    <row r="66" spans="1:8" s="199" customFormat="1">
      <c r="A66" s="220"/>
      <c r="B66" s="110" t="s">
        <v>463</v>
      </c>
      <c r="C66" s="436">
        <v>0.49199999999999999</v>
      </c>
      <c r="D66" s="238">
        <f>Factores!F84</f>
        <v>1.1667000000000001</v>
      </c>
      <c r="E66" s="237">
        <f>+ROUND(C66*D66,4)</f>
        <v>0.57399999999999995</v>
      </c>
      <c r="F66" s="436">
        <v>0</v>
      </c>
      <c r="G66" s="237">
        <f>+F66+E66</f>
        <v>0.57399999999999995</v>
      </c>
      <c r="H66" s="215"/>
    </row>
    <row r="67" spans="1:8" s="199" customFormat="1" ht="15.75">
      <c r="A67" s="437" t="s">
        <v>224</v>
      </c>
      <c r="B67" s="438" t="s">
        <v>227</v>
      </c>
      <c r="C67" s="429">
        <f>SUM(C63:C66)</f>
        <v>1.6257000000000001</v>
      </c>
      <c r="D67" s="439"/>
      <c r="E67" s="429">
        <f>SUM(E63:E66)</f>
        <v>1.7147000000000001</v>
      </c>
      <c r="F67" s="429">
        <f>SUM(F63:F66)</f>
        <v>-0.1394</v>
      </c>
      <c r="G67" s="429">
        <f>SUM(G63:G66)</f>
        <v>1.5752999999999999</v>
      </c>
      <c r="H67" s="215"/>
    </row>
    <row r="68" spans="1:8" s="199" customFormat="1">
      <c r="A68" s="218">
        <v>8</v>
      </c>
      <c r="B68" s="109" t="s">
        <v>223</v>
      </c>
      <c r="C68" s="443">
        <v>2.8999999999999998E-3</v>
      </c>
      <c r="D68" s="236">
        <f>+Factores!F70</f>
        <v>1.0335000000000001</v>
      </c>
      <c r="E68" s="235">
        <f t="shared" ref="E68:E75" si="5">+ROUND(C68*D68,4)</f>
        <v>3.0000000000000001E-3</v>
      </c>
      <c r="F68" s="443">
        <v>-1E-4</v>
      </c>
      <c r="G68" s="235">
        <f t="shared" ref="G68:G75" si="6">+F68+E68</f>
        <v>2.9000000000000002E-3</v>
      </c>
      <c r="H68" s="215"/>
    </row>
    <row r="69" spans="1:8" s="199" customFormat="1">
      <c r="A69" s="217" t="s">
        <v>224</v>
      </c>
      <c r="B69" s="110" t="s">
        <v>243</v>
      </c>
      <c r="C69" s="436">
        <v>9.4E-2</v>
      </c>
      <c r="D69" s="238">
        <f t="shared" ref="D69:D74" si="7">+D68</f>
        <v>1.0335000000000001</v>
      </c>
      <c r="E69" s="237">
        <f t="shared" si="5"/>
        <v>9.7100000000000006E-2</v>
      </c>
      <c r="F69" s="436">
        <v>-6.1000000000000004E-3</v>
      </c>
      <c r="G69" s="237">
        <f t="shared" si="6"/>
        <v>9.1000000000000011E-2</v>
      </c>
      <c r="H69" s="215"/>
    </row>
    <row r="70" spans="1:8" s="199" customFormat="1">
      <c r="A70" s="217" t="s">
        <v>224</v>
      </c>
      <c r="B70" s="110" t="s">
        <v>244</v>
      </c>
      <c r="C70" s="436">
        <v>0.96109999999999995</v>
      </c>
      <c r="D70" s="238">
        <f t="shared" si="7"/>
        <v>1.0335000000000001</v>
      </c>
      <c r="E70" s="237">
        <f t="shared" si="5"/>
        <v>0.99329999999999996</v>
      </c>
      <c r="F70" s="436">
        <v>-6.7699999999999996E-2</v>
      </c>
      <c r="G70" s="237">
        <f t="shared" si="6"/>
        <v>0.92559999999999998</v>
      </c>
      <c r="H70" s="215"/>
    </row>
    <row r="71" spans="1:8" s="199" customFormat="1">
      <c r="A71" s="217" t="s">
        <v>224</v>
      </c>
      <c r="B71" s="110" t="s">
        <v>342</v>
      </c>
      <c r="C71" s="436">
        <v>0</v>
      </c>
      <c r="D71" s="238">
        <f t="shared" si="7"/>
        <v>1.0335000000000001</v>
      </c>
      <c r="E71" s="237">
        <f t="shared" si="5"/>
        <v>0</v>
      </c>
      <c r="F71" s="436">
        <v>0</v>
      </c>
      <c r="G71" s="237">
        <f t="shared" si="6"/>
        <v>0</v>
      </c>
      <c r="H71" s="215"/>
    </row>
    <row r="72" spans="1:8" s="199" customFormat="1">
      <c r="A72" s="217" t="s">
        <v>224</v>
      </c>
      <c r="B72" s="110" t="s">
        <v>209</v>
      </c>
      <c r="C72" s="436">
        <v>0.52490000000000003</v>
      </c>
      <c r="D72" s="238">
        <f t="shared" si="7"/>
        <v>1.0335000000000001</v>
      </c>
      <c r="E72" s="237">
        <f t="shared" si="5"/>
        <v>0.54249999999999998</v>
      </c>
      <c r="F72" s="436">
        <v>1.2500000000000001E-2</v>
      </c>
      <c r="G72" s="237">
        <f t="shared" si="6"/>
        <v>0.55499999999999994</v>
      </c>
      <c r="H72" s="215"/>
    </row>
    <row r="73" spans="1:8" s="199" customFormat="1">
      <c r="A73" s="217" t="s">
        <v>224</v>
      </c>
      <c r="B73" s="110" t="s">
        <v>245</v>
      </c>
      <c r="C73" s="436">
        <v>7.7999999999999996E-3</v>
      </c>
      <c r="D73" s="238">
        <f t="shared" si="7"/>
        <v>1.0335000000000001</v>
      </c>
      <c r="E73" s="237">
        <f t="shared" si="5"/>
        <v>8.0999999999999996E-3</v>
      </c>
      <c r="F73" s="436">
        <v>-4.0000000000000002E-4</v>
      </c>
      <c r="G73" s="237">
        <f t="shared" si="6"/>
        <v>7.6999999999999994E-3</v>
      </c>
      <c r="H73" s="215"/>
    </row>
    <row r="74" spans="1:8" s="199" customFormat="1">
      <c r="A74" s="220" t="s">
        <v>224</v>
      </c>
      <c r="B74" s="110" t="s">
        <v>240</v>
      </c>
      <c r="C74" s="436">
        <v>0.46560000000000001</v>
      </c>
      <c r="D74" s="238">
        <f t="shared" si="7"/>
        <v>1.0335000000000001</v>
      </c>
      <c r="E74" s="237">
        <f t="shared" si="5"/>
        <v>0.48120000000000002</v>
      </c>
      <c r="F74" s="436">
        <v>-1.23E-2</v>
      </c>
      <c r="G74" s="237">
        <f t="shared" si="6"/>
        <v>0.46890000000000004</v>
      </c>
      <c r="H74" s="215"/>
    </row>
    <row r="75" spans="1:8" s="199" customFormat="1">
      <c r="A75" s="220"/>
      <c r="B75" s="110" t="s">
        <v>357</v>
      </c>
      <c r="C75" s="436">
        <v>0.19350000000000001</v>
      </c>
      <c r="D75" s="238">
        <f>Factores!F82</f>
        <v>0.83550000000000002</v>
      </c>
      <c r="E75" s="237">
        <f t="shared" si="5"/>
        <v>0.16170000000000001</v>
      </c>
      <c r="F75" s="436">
        <v>-3.7600000000000001E-2</v>
      </c>
      <c r="G75" s="237">
        <f t="shared" si="6"/>
        <v>0.12410000000000002</v>
      </c>
      <c r="H75" s="215"/>
    </row>
    <row r="76" spans="1:8" s="199" customFormat="1" ht="15.75">
      <c r="A76" s="437" t="s">
        <v>224</v>
      </c>
      <c r="B76" s="438" t="s">
        <v>227</v>
      </c>
      <c r="C76" s="429">
        <f>SUM(C68:C75)</f>
        <v>2.2498000000000005</v>
      </c>
      <c r="D76" s="439"/>
      <c r="E76" s="429">
        <f>SUM(E68:E75)</f>
        <v>2.2869000000000002</v>
      </c>
      <c r="F76" s="429">
        <f>SUM(F68:F75)</f>
        <v>-0.11169999999999999</v>
      </c>
      <c r="G76" s="429">
        <f>SUM(G68:G75)</f>
        <v>2.1751999999999998</v>
      </c>
      <c r="H76" s="215"/>
    </row>
    <row r="77" spans="1:8" s="199" customFormat="1">
      <c r="A77" s="218">
        <v>9</v>
      </c>
      <c r="B77" s="109" t="s">
        <v>114</v>
      </c>
      <c r="C77" s="443">
        <v>4.1599999999999998E-2</v>
      </c>
      <c r="D77" s="236">
        <f>+Factores!F71</f>
        <v>1.0275000000000001</v>
      </c>
      <c r="E77" s="235">
        <f>+ROUND(C77*D77,4)</f>
        <v>4.2700000000000002E-2</v>
      </c>
      <c r="F77" s="443">
        <v>-2.7000000000000001E-3</v>
      </c>
      <c r="G77" s="235">
        <f>+F77+E77</f>
        <v>0.04</v>
      </c>
      <c r="H77" s="215"/>
    </row>
    <row r="78" spans="1:8" s="199" customFormat="1">
      <c r="A78" s="217" t="s">
        <v>224</v>
      </c>
      <c r="B78" s="110" t="s">
        <v>246</v>
      </c>
      <c r="C78" s="436">
        <v>8.5099999999999995E-2</v>
      </c>
      <c r="D78" s="238">
        <f>+D77</f>
        <v>1.0275000000000001</v>
      </c>
      <c r="E78" s="237">
        <f>+ROUND(C78*D78,4)</f>
        <v>8.7400000000000005E-2</v>
      </c>
      <c r="F78" s="436">
        <v>-3.7000000000000002E-3</v>
      </c>
      <c r="G78" s="237">
        <f>+F78+E78</f>
        <v>8.3700000000000011E-2</v>
      </c>
      <c r="H78" s="215"/>
    </row>
    <row r="79" spans="1:8" s="199" customFormat="1">
      <c r="A79" s="217" t="s">
        <v>224</v>
      </c>
      <c r="B79" s="110" t="s">
        <v>247</v>
      </c>
      <c r="C79" s="436">
        <v>6.8999999999999999E-3</v>
      </c>
      <c r="D79" s="238">
        <f>+D78</f>
        <v>1.0275000000000001</v>
      </c>
      <c r="E79" s="237">
        <f>+ROUND(C79*D79,4)</f>
        <v>7.1000000000000004E-3</v>
      </c>
      <c r="F79" s="436">
        <v>-2.0000000000000001E-4</v>
      </c>
      <c r="G79" s="237">
        <f>+F79+E79</f>
        <v>6.9000000000000008E-3</v>
      </c>
      <c r="H79" s="215"/>
    </row>
    <row r="80" spans="1:8" s="199" customFormat="1">
      <c r="A80" s="217" t="s">
        <v>224</v>
      </c>
      <c r="B80" s="110" t="s">
        <v>209</v>
      </c>
      <c r="C80" s="436">
        <v>2.4199999999999999E-2</v>
      </c>
      <c r="D80" s="238">
        <f>+D79</f>
        <v>1.0275000000000001</v>
      </c>
      <c r="E80" s="237">
        <f>+ROUND(C80*D80,4)</f>
        <v>2.4899999999999999E-2</v>
      </c>
      <c r="F80" s="436">
        <v>-8.9999999999999998E-4</v>
      </c>
      <c r="G80" s="237">
        <f>+F80+E80</f>
        <v>2.3999999999999997E-2</v>
      </c>
      <c r="H80" s="215"/>
    </row>
    <row r="81" spans="1:8" s="199" customFormat="1">
      <c r="A81" s="217" t="s">
        <v>224</v>
      </c>
      <c r="B81" s="110" t="s">
        <v>245</v>
      </c>
      <c r="C81" s="436">
        <v>0.96499999999999997</v>
      </c>
      <c r="D81" s="238">
        <f>+D80</f>
        <v>1.0275000000000001</v>
      </c>
      <c r="E81" s="237">
        <f>+ROUND(C81*D81,4)</f>
        <v>0.99150000000000005</v>
      </c>
      <c r="F81" s="436">
        <v>-0.1205</v>
      </c>
      <c r="G81" s="237">
        <f>+F81+E81</f>
        <v>0.871</v>
      </c>
      <c r="H81" s="215"/>
    </row>
    <row r="82" spans="1:8" s="199" customFormat="1" ht="15.75">
      <c r="A82" s="437" t="s">
        <v>224</v>
      </c>
      <c r="B82" s="438" t="s">
        <v>227</v>
      </c>
      <c r="C82" s="429">
        <f>SUM(C77:C81)</f>
        <v>1.1228</v>
      </c>
      <c r="D82" s="439"/>
      <c r="E82" s="429">
        <f>SUM(E77:E81)</f>
        <v>1.1536</v>
      </c>
      <c r="F82" s="429">
        <f>SUM(F77:F81)</f>
        <v>-0.128</v>
      </c>
      <c r="G82" s="429">
        <f>SUM(G77:G81)</f>
        <v>1.0256000000000001</v>
      </c>
      <c r="H82" s="215"/>
    </row>
    <row r="83" spans="1:8" s="199" customFormat="1">
      <c r="A83" s="218">
        <v>10</v>
      </c>
      <c r="B83" s="109" t="s">
        <v>248</v>
      </c>
      <c r="C83" s="443">
        <v>0.21870000000000001</v>
      </c>
      <c r="D83" s="236">
        <f>+Factores!F72</f>
        <v>1.0288999999999999</v>
      </c>
      <c r="E83" s="235">
        <f>+ROUND(C83*D83,4)</f>
        <v>0.22500000000000001</v>
      </c>
      <c r="F83" s="443">
        <v>-1.9599999999999999E-2</v>
      </c>
      <c r="G83" s="235">
        <f>+F83+E83</f>
        <v>0.2054</v>
      </c>
      <c r="H83" s="215"/>
    </row>
    <row r="84" spans="1:8" s="199" customFormat="1">
      <c r="A84" s="217" t="s">
        <v>224</v>
      </c>
      <c r="B84" s="110" t="s">
        <v>249</v>
      </c>
      <c r="C84" s="436">
        <v>1.3213999999999999</v>
      </c>
      <c r="D84" s="238">
        <f>+D83</f>
        <v>1.0288999999999999</v>
      </c>
      <c r="E84" s="237">
        <f>+ROUND(C84*D84,4)</f>
        <v>1.3595999999999999</v>
      </c>
      <c r="F84" s="436">
        <v>-2.9000000000000001E-2</v>
      </c>
      <c r="G84" s="237">
        <f>+F84+E84</f>
        <v>1.3306</v>
      </c>
      <c r="H84" s="215"/>
    </row>
    <row r="85" spans="1:8" s="199" customFormat="1">
      <c r="A85" s="217" t="s">
        <v>224</v>
      </c>
      <c r="B85" s="110" t="s">
        <v>209</v>
      </c>
      <c r="C85" s="436">
        <v>0.2281</v>
      </c>
      <c r="D85" s="238">
        <f>+D84</f>
        <v>1.0288999999999999</v>
      </c>
      <c r="E85" s="237">
        <f>+ROUND(C85*D85,4)</f>
        <v>0.23469999999999999</v>
      </c>
      <c r="F85" s="436">
        <v>2.76E-2</v>
      </c>
      <c r="G85" s="237">
        <f>+F85+E85</f>
        <v>0.26229999999999998</v>
      </c>
      <c r="H85" s="215"/>
    </row>
    <row r="86" spans="1:8" s="199" customFormat="1" ht="15.75">
      <c r="A86" s="437" t="s">
        <v>224</v>
      </c>
      <c r="B86" s="438" t="s">
        <v>227</v>
      </c>
      <c r="C86" s="429">
        <f>SUM(C83:C85)</f>
        <v>1.7681999999999998</v>
      </c>
      <c r="D86" s="439"/>
      <c r="E86" s="429">
        <f>SUM(E83:E85)</f>
        <v>1.8192999999999999</v>
      </c>
      <c r="F86" s="429">
        <f>SUM(F83:F85)</f>
        <v>-2.1000000000000005E-2</v>
      </c>
      <c r="G86" s="429">
        <f>SUM(G83:G85)</f>
        <v>1.7983</v>
      </c>
      <c r="H86" s="215"/>
    </row>
    <row r="87" spans="1:8" s="199" customFormat="1">
      <c r="A87" s="218">
        <v>11</v>
      </c>
      <c r="B87" s="109" t="s">
        <v>250</v>
      </c>
      <c r="C87" s="443">
        <v>1.0725</v>
      </c>
      <c r="D87" s="236">
        <f>+Factores!F73</f>
        <v>1.0432999999999999</v>
      </c>
      <c r="E87" s="235">
        <f>+ROUND(C87*D87,4)</f>
        <v>1.1189</v>
      </c>
      <c r="F87" s="443">
        <v>9.5899999999999999E-2</v>
      </c>
      <c r="G87" s="235">
        <f>+F87+E87</f>
        <v>1.2148000000000001</v>
      </c>
      <c r="H87" s="215"/>
    </row>
    <row r="88" spans="1:8" s="199" customFormat="1">
      <c r="A88" s="217" t="s">
        <v>224</v>
      </c>
      <c r="B88" s="110" t="s">
        <v>209</v>
      </c>
      <c r="C88" s="436">
        <v>0.85389999999999999</v>
      </c>
      <c r="D88" s="238">
        <f>+D87</f>
        <v>1.0432999999999999</v>
      </c>
      <c r="E88" s="237">
        <f>+ROUND(C88*D88,4)</f>
        <v>0.89090000000000003</v>
      </c>
      <c r="F88" s="436">
        <v>6.4500000000000002E-2</v>
      </c>
      <c r="G88" s="237">
        <f>+F88+E88</f>
        <v>0.95540000000000003</v>
      </c>
      <c r="H88" s="215"/>
    </row>
    <row r="89" spans="1:8" s="199" customFormat="1" ht="15.75">
      <c r="A89" s="437" t="s">
        <v>224</v>
      </c>
      <c r="B89" s="438" t="s">
        <v>227</v>
      </c>
      <c r="C89" s="429">
        <f>SUM(C87:C88)</f>
        <v>1.9264000000000001</v>
      </c>
      <c r="D89" s="439"/>
      <c r="E89" s="429">
        <f>SUM(E87:E88)</f>
        <v>2.0098000000000003</v>
      </c>
      <c r="F89" s="429">
        <f>SUM(F87:F88)</f>
        <v>0.16039999999999999</v>
      </c>
      <c r="G89" s="429">
        <f>SUM(G87:G88)</f>
        <v>2.1702000000000004</v>
      </c>
      <c r="H89" s="215"/>
    </row>
    <row r="90" spans="1:8" s="199" customFormat="1">
      <c r="A90" s="218">
        <v>12</v>
      </c>
      <c r="B90" s="109" t="s">
        <v>247</v>
      </c>
      <c r="C90" s="443">
        <v>1.2041999999999999</v>
      </c>
      <c r="D90" s="236">
        <f>+Factores!F74</f>
        <v>0.9748</v>
      </c>
      <c r="E90" s="235">
        <f>+ROUND(C90*D90,4)</f>
        <v>1.1738999999999999</v>
      </c>
      <c r="F90" s="443">
        <v>0.2104</v>
      </c>
      <c r="G90" s="235">
        <f>+F90+E90</f>
        <v>1.3842999999999999</v>
      </c>
      <c r="H90" s="215"/>
    </row>
    <row r="91" spans="1:8" s="199" customFormat="1">
      <c r="A91" s="217" t="s">
        <v>224</v>
      </c>
      <c r="B91" s="110" t="s">
        <v>251</v>
      </c>
      <c r="C91" s="436">
        <v>0.4496</v>
      </c>
      <c r="D91" s="238">
        <f>+D90</f>
        <v>0.9748</v>
      </c>
      <c r="E91" s="237">
        <f>+ROUND(C91*D91,4)</f>
        <v>0.43830000000000002</v>
      </c>
      <c r="F91" s="436">
        <v>-4.0500000000000001E-2</v>
      </c>
      <c r="G91" s="237">
        <f>+F91+E91</f>
        <v>0.39780000000000004</v>
      </c>
      <c r="H91" s="215"/>
    </row>
    <row r="92" spans="1:8" s="199" customFormat="1">
      <c r="A92" s="217" t="s">
        <v>224</v>
      </c>
      <c r="B92" s="110" t="s">
        <v>252</v>
      </c>
      <c r="C92" s="436">
        <v>0</v>
      </c>
      <c r="D92" s="238">
        <f>+D91</f>
        <v>0.9748</v>
      </c>
      <c r="E92" s="237">
        <f>+ROUND(C92*D92,4)</f>
        <v>0</v>
      </c>
      <c r="F92" s="436">
        <v>-6.7000000000000002E-3</v>
      </c>
      <c r="G92" s="237">
        <f>+F92+E92</f>
        <v>-6.7000000000000002E-3</v>
      </c>
      <c r="H92" s="215"/>
    </row>
    <row r="93" spans="1:8" s="199" customFormat="1" ht="15.75">
      <c r="A93" s="437" t="s">
        <v>224</v>
      </c>
      <c r="B93" s="438" t="s">
        <v>227</v>
      </c>
      <c r="C93" s="429">
        <f>SUM(C90:C92)</f>
        <v>1.6537999999999999</v>
      </c>
      <c r="D93" s="439"/>
      <c r="E93" s="429">
        <f>SUM(E90:E92)</f>
        <v>1.6122000000000001</v>
      </c>
      <c r="F93" s="429">
        <f>SUM(F90:F92)</f>
        <v>0.16319999999999998</v>
      </c>
      <c r="G93" s="429">
        <f>SUM(G90:G92)</f>
        <v>1.7753999999999999</v>
      </c>
      <c r="H93" s="215"/>
    </row>
    <row r="94" spans="1:8" s="199" customFormat="1">
      <c r="A94" s="218">
        <v>13</v>
      </c>
      <c r="B94" s="109" t="s">
        <v>253</v>
      </c>
      <c r="C94" s="443">
        <v>8.8999999999999999E-3</v>
      </c>
      <c r="D94" s="236">
        <f>+Factores!F75</f>
        <v>1.0370999999999999</v>
      </c>
      <c r="E94" s="235">
        <f>+ROUND(C94*D94,4)</f>
        <v>9.1999999999999998E-3</v>
      </c>
      <c r="F94" s="443">
        <v>-1E-4</v>
      </c>
      <c r="G94" s="235">
        <f>+F94+E94</f>
        <v>9.1000000000000004E-3</v>
      </c>
      <c r="H94" s="215"/>
    </row>
    <row r="95" spans="1:8" s="199" customFormat="1">
      <c r="A95" s="217" t="s">
        <v>224</v>
      </c>
      <c r="B95" s="110" t="s">
        <v>247</v>
      </c>
      <c r="C95" s="436">
        <v>0.91579999999999995</v>
      </c>
      <c r="D95" s="238">
        <f>+D94</f>
        <v>1.0370999999999999</v>
      </c>
      <c r="E95" s="237">
        <f>+ROUND(C95*D95,4)</f>
        <v>0.94979999999999998</v>
      </c>
      <c r="F95" s="436">
        <v>-2.2200000000000001E-2</v>
      </c>
      <c r="G95" s="237">
        <f>+F95+E95</f>
        <v>0.92759999999999998</v>
      </c>
      <c r="H95" s="215"/>
    </row>
    <row r="96" spans="1:8" s="199" customFormat="1" ht="15.75">
      <c r="A96" s="437" t="s">
        <v>224</v>
      </c>
      <c r="B96" s="438" t="s">
        <v>227</v>
      </c>
      <c r="C96" s="429">
        <f>SUM(C94:C95)</f>
        <v>0.92469999999999997</v>
      </c>
      <c r="D96" s="439"/>
      <c r="E96" s="429">
        <f>SUM(E94:E95)</f>
        <v>0.95899999999999996</v>
      </c>
      <c r="F96" s="429">
        <f>SUM(F94:F95)</f>
        <v>-2.23E-2</v>
      </c>
      <c r="G96" s="429">
        <f>SUM(G94:G95)</f>
        <v>0.93669999999999998</v>
      </c>
      <c r="H96" s="215"/>
    </row>
    <row r="97" spans="1:8" s="199" customFormat="1">
      <c r="A97" s="217">
        <v>14</v>
      </c>
      <c r="B97" s="109" t="s">
        <v>254</v>
      </c>
      <c r="C97" s="443">
        <v>0.84699999999999998</v>
      </c>
      <c r="D97" s="236">
        <f>+Factores!F76</f>
        <v>1.0617000000000001</v>
      </c>
      <c r="E97" s="235">
        <f>+ROUND(C97*D97,4)</f>
        <v>0.89929999999999999</v>
      </c>
      <c r="F97" s="443">
        <v>-1.4500000000000001E-2</v>
      </c>
      <c r="G97" s="235">
        <f>+F97+E97</f>
        <v>0.88480000000000003</v>
      </c>
      <c r="H97" s="215"/>
    </row>
    <row r="98" spans="1:8" s="199" customFormat="1" ht="15.75">
      <c r="A98" s="437" t="s">
        <v>224</v>
      </c>
      <c r="B98" s="438" t="s">
        <v>227</v>
      </c>
      <c r="C98" s="429">
        <f>SUM(C97)</f>
        <v>0.84699999999999998</v>
      </c>
      <c r="D98" s="439"/>
      <c r="E98" s="429">
        <f>SUM(E97)</f>
        <v>0.89929999999999999</v>
      </c>
      <c r="F98" s="429">
        <f>SUM(F97)</f>
        <v>-1.4500000000000001E-2</v>
      </c>
      <c r="G98" s="429">
        <f>SUM(G97)</f>
        <v>0.88480000000000003</v>
      </c>
      <c r="H98" s="215"/>
    </row>
    <row r="99" spans="1:8" s="199" customFormat="1">
      <c r="A99" s="217">
        <v>15</v>
      </c>
      <c r="B99" s="109" t="s">
        <v>209</v>
      </c>
      <c r="C99" s="443">
        <v>6.4500000000000002E-2</v>
      </c>
      <c r="D99" s="236">
        <f>+Factores!F77</f>
        <v>1.0065999999999999</v>
      </c>
      <c r="E99" s="235">
        <f>+ROUND(C99*D99,4)</f>
        <v>6.4899999999999999E-2</v>
      </c>
      <c r="F99" s="443">
        <v>-8.9999999999999998E-4</v>
      </c>
      <c r="G99" s="235">
        <f>+F99+E99</f>
        <v>6.4000000000000001E-2</v>
      </c>
      <c r="H99" s="215"/>
    </row>
    <row r="100" spans="1:8" s="199" customFormat="1" ht="15.75">
      <c r="A100" s="437" t="s">
        <v>224</v>
      </c>
      <c r="B100" s="438" t="s">
        <v>227</v>
      </c>
      <c r="C100" s="429">
        <f>SUM(C99)</f>
        <v>6.4500000000000002E-2</v>
      </c>
      <c r="D100" s="439"/>
      <c r="E100" s="429">
        <f>SUM(E99)</f>
        <v>6.4899999999999999E-2</v>
      </c>
      <c r="F100" s="429">
        <f>SUM(F99)</f>
        <v>-8.9999999999999998E-4</v>
      </c>
      <c r="G100" s="429">
        <f>SUM(G99)</f>
        <v>6.4000000000000001E-2</v>
      </c>
      <c r="H100" s="215"/>
    </row>
    <row r="101" spans="1:8" s="199" customFormat="1">
      <c r="A101" s="241"/>
      <c r="B101" s="213"/>
      <c r="C101" s="223"/>
      <c r="D101" s="214"/>
      <c r="E101" s="215"/>
      <c r="F101" s="215"/>
      <c r="G101" s="215"/>
    </row>
    <row r="102" spans="1:8" s="199" customFormat="1"/>
    <row r="103" spans="1:8" s="199" customFormat="1"/>
    <row r="104" spans="1:8" s="199" customFormat="1"/>
    <row r="105" spans="1:8" s="199" customFormat="1"/>
    <row r="106" spans="1:8" s="199" customFormat="1"/>
    <row r="107" spans="1:8" s="199" customFormat="1"/>
    <row r="108" spans="1:8" s="199" customFormat="1"/>
    <row r="109" spans="1:8" s="199" customFormat="1"/>
    <row r="110" spans="1:8" s="199" customFormat="1"/>
    <row r="111" spans="1:8" s="199" customFormat="1"/>
    <row r="112" spans="1:8" s="199" customFormat="1"/>
    <row r="113" s="199" customFormat="1"/>
    <row r="114" s="199" customFormat="1"/>
    <row r="115" s="199" customFormat="1"/>
    <row r="116" s="199" customFormat="1"/>
    <row r="117" s="199" customFormat="1"/>
    <row r="118" s="199" customFormat="1"/>
    <row r="119" s="199" customFormat="1"/>
    <row r="120" s="199" customFormat="1"/>
    <row r="121" s="199" customFormat="1"/>
    <row r="122" s="199" customFormat="1"/>
    <row r="123" s="199" customFormat="1"/>
    <row r="124" s="199" customFormat="1"/>
    <row r="125" s="199" customFormat="1"/>
    <row r="126" s="199" customFormat="1"/>
  </sheetData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a xmlns="2c528ab9-7095-49d0-a7ff-82fe0cd557ed">9</Categoria>
    <FechaVigencia xmlns="2c528ab9-7095-49d0-a7ff-82fe0cd557ed">2012-12-04T05:00:00+00:00</FechaVigencia>
    <_dlc_DocId xmlns="c9af1732-5c4a-47a8-8a40-65a3d58cbfeb">H4ZUARPRAJFR-91-1669</_dlc_DocId>
    <_dlc_DocIdUrl xmlns="c9af1732-5c4a-47a8-8a40-65a3d58cbfeb">
      <Url>http://portal/seccion/centro_documental/gart/_layouts/15/DocIdRedir.aspx?ID=H4ZUARPRAJFR-91-1669</Url>
      <Description>H4ZUARPRAJFR-91-1669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AF54A0A63D6842840600891AFE3E5B" ma:contentTypeVersion="9" ma:contentTypeDescription="Crear nuevo documento." ma:contentTypeScope="" ma:versionID="ed7a7d99e12cb676d8693eeb784e4e0a">
  <xsd:schema xmlns:xsd="http://www.w3.org/2001/XMLSchema" xmlns:xs="http://www.w3.org/2001/XMLSchema" xmlns:p="http://schemas.microsoft.com/office/2006/metadata/properties" xmlns:ns2="c9af1732-5c4a-47a8-8a40-65a3d58cbfeb" xmlns:ns3="2c528ab9-7095-49d0-a7ff-82fe0cd557ed" targetNamespace="http://schemas.microsoft.com/office/2006/metadata/properties" ma:root="true" ma:fieldsID="cb9ef61cab5c4a86d7a7b36c6af63c4c" ns2:_="" ns3:_="">
    <xsd:import namespace="c9af1732-5c4a-47a8-8a40-65a3d58cbfeb"/>
    <xsd:import namespace="2c528ab9-7095-49d0-a7ff-82fe0cd557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FechaVigencia" minOccurs="0"/>
                <xsd:element ref="ns3:Categori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f1732-5c4a-47a8-8a40-65a3d58cbfe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28ab9-7095-49d0-a7ff-82fe0cd557ed" elementFormDefault="qualified">
    <xsd:import namespace="http://schemas.microsoft.com/office/2006/documentManagement/types"/>
    <xsd:import namespace="http://schemas.microsoft.com/office/infopath/2007/PartnerControls"/>
    <xsd:element name="FechaVigencia" ma:index="11" nillable="true" ma:displayName="Fecha de Vigencia" ma:default="[today]" ma:format="DateOnly" ma:internalName="FechaVigencia">
      <xsd:simpleType>
        <xsd:restriction base="dms:DateTime"/>
      </xsd:simpleType>
    </xsd:element>
    <xsd:element name="Categoria" ma:index="12" nillable="true" ma:displayName="Categoria" ma:list="{e20db2da-d58f-4f43-afe1-65ddc9263927}" ma:internalName="Categoria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F639B0-78DD-45A2-8842-4B11737BDC18}"/>
</file>

<file path=customXml/itemProps2.xml><?xml version="1.0" encoding="utf-8"?>
<ds:datastoreItem xmlns:ds="http://schemas.openxmlformats.org/officeDocument/2006/customXml" ds:itemID="{67A3A827-6034-4C87-9399-B94A6439D510}"/>
</file>

<file path=customXml/itemProps3.xml><?xml version="1.0" encoding="utf-8"?>
<ds:datastoreItem xmlns:ds="http://schemas.openxmlformats.org/officeDocument/2006/customXml" ds:itemID="{4E1DC4E4-1C9E-41CB-AFE0-80DFCAE64E36}"/>
</file>

<file path=customXml/itemProps4.xml><?xml version="1.0" encoding="utf-8"?>
<ds:datastoreItem xmlns:ds="http://schemas.openxmlformats.org/officeDocument/2006/customXml" ds:itemID="{82C665E4-F907-4F9B-B24D-2C2CE46483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ResumenIndicadores</vt:lpstr>
      <vt:lpstr>Historico</vt:lpstr>
      <vt:lpstr>Factores</vt:lpstr>
      <vt:lpstr>ALUMINIO-COBRE-TC-IPM</vt:lpstr>
      <vt:lpstr>COMBUSTIBLES</vt:lpstr>
      <vt:lpstr>TA_VAD</vt:lpstr>
      <vt:lpstr>PCSPT</vt:lpstr>
      <vt:lpstr>CPSEE</vt:lpstr>
      <vt:lpstr>SST</vt:lpstr>
      <vt:lpstr>FEPMMT</vt:lpstr>
      <vt:lpstr>PBARRA</vt:lpstr>
      <vt:lpstr>PNG</vt:lpstr>
      <vt:lpstr>'ALUMINIO-COBRE-TC-IPM'!Área_de_impresión</vt:lpstr>
      <vt:lpstr>COMBUSTIBLES!Área_de_impresión</vt:lpstr>
      <vt:lpstr>CPSEE!Área_de_impresión</vt:lpstr>
      <vt:lpstr>Factores!Área_de_impresión</vt:lpstr>
      <vt:lpstr>FEPMMT!Área_de_impresión</vt:lpstr>
      <vt:lpstr>Historico!Área_de_impresión</vt:lpstr>
      <vt:lpstr>PBARRA!Área_de_impresión</vt:lpstr>
      <vt:lpstr>PCSPT!Área_de_impresión</vt:lpstr>
      <vt:lpstr>PNG!Área_de_impresión</vt:lpstr>
      <vt:lpstr>ResumenIndicadores!Área_de_impresión</vt:lpstr>
      <vt:lpstr>SST!Área_de_impresión</vt:lpstr>
      <vt:lpstr>TA_VAD!Área_de_impresión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Bernabel Espinoza</dc:creator>
  <dc:description>Agregar hoja de informe</dc:description>
  <cp:lastModifiedBy>Juan José Javier Jara</cp:lastModifiedBy>
  <cp:lastPrinted>2012-11-30T16:11:13Z</cp:lastPrinted>
  <dcterms:created xsi:type="dcterms:W3CDTF">1997-06-30T13:53:49Z</dcterms:created>
  <dcterms:modified xsi:type="dcterms:W3CDTF">2012-12-02T16:54:43Z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ntativeReviewCycleID">
    <vt:i4>1807419003</vt:i4>
  </property>
  <property fmtid="{D5CDD505-2E9C-101B-9397-08002B2CF9AE}" pid="3" name="_ReviewCycleID">
    <vt:i4>1807419003</vt:i4>
  </property>
  <property fmtid="{D5CDD505-2E9C-101B-9397-08002B2CF9AE}" pid="4" name="_NewReviewCycle">
    <vt:lpwstr/>
  </property>
  <property fmtid="{D5CDD505-2E9C-101B-9397-08002B2CF9AE}" pid="5" name="_EmailEntryID">
    <vt:lpwstr>000000004B157D37AECE5D408C034A125763F53A0700E12EE4B10B450842B43A15BA5EA84EB800000016118700000D3454768D1BA5429B018E609866907F000002A776770000</vt:lpwstr>
  </property>
  <property fmtid="{D5CDD505-2E9C-101B-9397-08002B2CF9AE}" pid="6" name="_EmailStoreID0">
    <vt:lpwstr>0000000038A1BB1005E5101AA1BB08002B2A56C20000454D534D44422E444C4C00000000000000001B55FA20AA6611CD9BC800AA002FC45A0C0000005352564D41494C3032002F6F3D4F73696E6572672F6F753D46697273742041646D696E6973747261746976652047726F75702F636E3D526563697069656E74732F636E3</vt:lpwstr>
  </property>
  <property fmtid="{D5CDD505-2E9C-101B-9397-08002B2CF9AE}" pid="7" name="_EmailStoreID1">
    <vt:lpwstr>D636265726E6162656C00</vt:lpwstr>
  </property>
  <property fmtid="{D5CDD505-2E9C-101B-9397-08002B2CF9AE}" pid="8" name="_dlc_DocIdItemGuid">
    <vt:lpwstr>890a129c-e2c3-4745-860b-2e172c474bf1</vt:lpwstr>
  </property>
  <property fmtid="{D5CDD505-2E9C-101B-9397-08002B2CF9AE}" pid="9" name="ContentTypeId">
    <vt:lpwstr>0x0101002FAF54A0A63D6842840600891AFE3E5B</vt:lpwstr>
  </property>
</Properties>
</file>