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drawings/drawing6.xml" ContentType="application/vnd.openxmlformats-officedocument.drawing+xml"/>
  <Override PartName="/xl/worksheets/sheet1.xml" ContentType="application/vnd.openxmlformats-officedocument.spreadsheetml.worksheet+xml"/>
  <Override PartName="/xl/drawings/drawing5.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embeddings/oleObject1.bin" ContentType="application/vnd.openxmlformats-officedocument.oleObject"/>
  <Override PartName="/xl/embeddings/oleObject3.bin" ContentType="application/vnd.openxmlformats-officedocument.oleObject"/>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2.bin" ContentType="application/vnd.openxmlformats-officedocument.oleObject"/>
  <Override PartName="/xl/embeddings/oleObject4.bin" ContentType="application/vnd.openxmlformats-officedocument.oleObject"/>
  <Override PartName="/xl/drawings/drawing4.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externalLinks/externalLink1.xml" ContentType="application/vnd.openxmlformats-officedocument.spreadsheetml.externalLink+xml"/>
  <Override PartName="/xl/comments4.xml" ContentType="application/vnd.openxmlformats-officedocument.spreadsheetml.comments+xml"/>
  <Override PartName="/xl/comments1.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custom.xml" ContentType="application/vnd.openxmlformats-officedocument.custom-properties+xml"/>
  <Override PartName="/xl/calcChain.xml" ContentType="application/vnd.openxmlformats-officedocument.spreadsheetml.calcChain+xml"/>
  <Override PartName="/xl/comments2.xml" ContentType="application/vnd.openxmlformats-officedocument.spreadsheetml.comment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5" yWindow="-15" windowWidth="12120" windowHeight="6180" tabRatio="616"/>
  </bookViews>
  <sheets>
    <sheet name="ResumenIndicadores" sheetId="290" r:id="rId1"/>
    <sheet name="Factores" sheetId="280" r:id="rId2"/>
    <sheet name="PCSPT" sheetId="297" r:id="rId3"/>
    <sheet name="Historico" sheetId="299" r:id="rId4"/>
    <sheet name="IPM-TC-COBRE-ALUMINIO" sheetId="291" r:id="rId5"/>
    <sheet name="COMBUSTIBLES" sheetId="292" r:id="rId6"/>
    <sheet name="TA_VAD" sheetId="287" r:id="rId7"/>
    <sheet name="mfb" sheetId="300" state="hidden" r:id="rId8"/>
  </sheets>
  <externalReferences>
    <externalReference r:id="rId9"/>
  </externalReferences>
  <definedNames>
    <definedName name="_xlnm._FilterDatabase" localSheetId="1" hidden="1">Factores!#REF!</definedName>
    <definedName name="_xlnm._FilterDatabase" localSheetId="3" hidden="1">Historico!#REF!</definedName>
    <definedName name="_xlnm.Print_Area" localSheetId="5">COMBUSTIBLES!$A$1:$R$65</definedName>
    <definedName name="_xlnm.Print_Area" localSheetId="1">Factores!$A$1:$AP$110</definedName>
    <definedName name="_xlnm.Print_Area" localSheetId="3">Historico!#REF!</definedName>
    <definedName name="_xlnm.Print_Area" localSheetId="4">'IPM-TC-COBRE-ALUMINIO'!$A$1:$M$63</definedName>
    <definedName name="_xlnm.Print_Area" localSheetId="2">PCSPT!$A$1:$J$177</definedName>
    <definedName name="Cuadro_4y5">Factores!$S$5:$AB$17</definedName>
    <definedName name="DALd" localSheetId="3">Historico!#REF!</definedName>
    <definedName name="DALd">Factores!$AJ$74</definedName>
    <definedName name="DCUd" localSheetId="3">Historico!#REF!</definedName>
    <definedName name="DCUd">Factores!$AJ$73</definedName>
    <definedName name="FCB" localSheetId="3">Historico!#REF!</definedName>
    <definedName name="FCB">Factores!$AE$11</definedName>
    <definedName name="FD2G1" localSheetId="3">Historico!#REF!</definedName>
    <definedName name="FD2G1">Factores!$AE$16</definedName>
    <definedName name="FD2G2" localSheetId="3">Historico!#REF!</definedName>
    <definedName name="FD2G2">Factores!$AE$17</definedName>
    <definedName name="FD2G3" localSheetId="3">Historico!#REF!</definedName>
    <definedName name="FD2G3">Factores!$AE$19</definedName>
    <definedName name="FD2G4" localSheetId="3">Historico!#REF!</definedName>
    <definedName name="FD2G4">Factores!$AE$20</definedName>
    <definedName name="FD2SEIN" localSheetId="3">Historico!#REF!</definedName>
    <definedName name="FD2SEIN">Factores!$AE$12</definedName>
    <definedName name="FPALtp" localSheetId="3">Historico!#REF!</definedName>
    <definedName name="FPALtp">Factores!$AE$32</definedName>
    <definedName name="FPALts" localSheetId="3">Historico!#REF!</definedName>
    <definedName name="FPALts">Factores!$AE$40</definedName>
    <definedName name="FPCUtp" localSheetId="3">Historico!#REF!</definedName>
    <definedName name="FPCUtp">Factores!$AE$31</definedName>
    <definedName name="FPCUts" localSheetId="3">Historico!#REF!</definedName>
    <definedName name="FPCUts">Factores!$AE$39</definedName>
    <definedName name="FPGN" localSheetId="3">Historico!#REF!</definedName>
    <definedName name="FPGN">Factores!$AE$10</definedName>
    <definedName name="FPMconexion" localSheetId="3">Historico!#REF!</definedName>
    <definedName name="FPMconexion">Factores!$AE$91</definedName>
    <definedName name="FPMd" localSheetId="3">Historico!#REF!</definedName>
    <definedName name="FPMd">Factores!$AJ$69</definedName>
    <definedName name="FPMg" localSheetId="3">Historico!#REF!</definedName>
    <definedName name="FPMg">Factores!$AE$8</definedName>
    <definedName name="FPMprepagod" localSheetId="3">Historico!#REF!</definedName>
    <definedName name="FPMprepagod">Factores!$AJ$79</definedName>
    <definedName name="FPMtp" localSheetId="3">Historico!#REF!</definedName>
    <definedName name="FPMtp">Factores!$AE$29</definedName>
    <definedName name="FPMts" localSheetId="3">Historico!#REF!</definedName>
    <definedName name="FPMts">Factores!$AE$38</definedName>
    <definedName name="FR6G1" localSheetId="3">Historico!#REF!</definedName>
    <definedName name="FR6G1">Factores!$AE$23</definedName>
    <definedName name="FR6G2" localSheetId="3">Historico!#REF!</definedName>
    <definedName name="FR6G2">Factores!$AE$18</definedName>
    <definedName name="FR6G3" localSheetId="3">Historico!#REF!</definedName>
    <definedName name="FR6G3">Factores!$AE$21</definedName>
    <definedName name="FR6G4" localSheetId="3">Historico!#REF!</definedName>
    <definedName name="FR6G4">Factores!$AE$22</definedName>
    <definedName name="FR6SEIN" localSheetId="3">Historico!#REF!</definedName>
    <definedName name="FR6SEIN">Factores!$AE$13</definedName>
    <definedName name="FTCd" localSheetId="3">Historico!#REF!</definedName>
    <definedName name="FTCd">Factores!$AJ$70</definedName>
    <definedName name="FTCg" localSheetId="3">Historico!#REF!</definedName>
    <definedName name="FTCg">Factores!$AE$9</definedName>
    <definedName name="FTCtp" localSheetId="3">Historico!#REF!</definedName>
    <definedName name="FTCtp">Factores!$AE$30</definedName>
    <definedName name="FTCts" localSheetId="3">Historico!#REF!</definedName>
    <definedName name="FTCts">Factores!$AE$37</definedName>
    <definedName name="IPALd" localSheetId="3">Historico!#REF!</definedName>
    <definedName name="IPALd">Factores!$AJ$72</definedName>
    <definedName name="IPCUd" localSheetId="3">Historico!#REF!</definedName>
    <definedName name="IPCUd">Factores!$AJ$71</definedName>
    <definedName name="ITAc" localSheetId="3">Historico!#REF!</definedName>
    <definedName name="ITAc">Factores!$AE$95</definedName>
    <definedName name="ITAPC1" localSheetId="3">Historico!#REF!</definedName>
    <definedName name="ITAPC1">Factores!$AE$96</definedName>
    <definedName name="ITAPC11" localSheetId="3">Historico!#REF!</definedName>
    <definedName name="ITAPC11">Factores!$AE$107</definedName>
    <definedName name="ITAPC12" localSheetId="3">Historico!#REF!</definedName>
    <definedName name="ITAPC12">Factores!$AE$108</definedName>
    <definedName name="ITAPC2" localSheetId="3">Historico!#REF!</definedName>
    <definedName name="ITAPC2">Factores!$AE$97</definedName>
    <definedName name="ITAPC3" localSheetId="3">Historico!#REF!</definedName>
    <definedName name="ITAPC3">Factores!$AE$98</definedName>
    <definedName name="ITAPC4" localSheetId="3">Historico!#REF!</definedName>
    <definedName name="ITAPC4">Factores!$AE$99</definedName>
    <definedName name="ITAPC5" localSheetId="3">Historico!#REF!</definedName>
    <definedName name="ITAPC5">Factores!$AE$100</definedName>
    <definedName name="ITAPC6" localSheetId="3">Historico!#REF!</definedName>
    <definedName name="ITAPC6">Factores!$AE$102</definedName>
    <definedName name="ITAPC7" localSheetId="3">Historico!#REF!</definedName>
    <definedName name="ITAPC7">Factores!$AE$103</definedName>
    <definedName name="ITAPC8" localSheetId="3">Historico!#REF!</definedName>
    <definedName name="ITAPC8">Factores!$AE$104</definedName>
    <definedName name="ITAPC9" localSheetId="3">Historico!#REF!</definedName>
    <definedName name="ITAPC9">Factores!$AE$106</definedName>
    <definedName name="Otro" localSheetId="4" hidden="1">{"Anexo A",#N/A,FALSE,"Generacion";"Anexo B",#N/A,FALSE,"Transmision";"Anexo C",#N/A,FALSE,"Distribucion";"Anexo D",#N/A,FALSE,"Transporte-Hidrocarburos";"Anexo E",#N/A,FALSE,"Distribucion-GN";"Anexo F",#N/A,FALSE,"Transporte-Petroperu";"Anexo G",#N/A,FALSE,"Distribucion-Gastalsa"}</definedName>
    <definedName name="Otro" hidden="1">{"Anexo A",#N/A,FALSE,"Generacion";"Anexo B",#N/A,FALSE,"Transmision";"Anexo C",#N/A,FALSE,"Distribucion";"Anexo D",#N/A,FALSE,"Transporte-Hidrocarburos";"Anexo E",#N/A,FALSE,"Distribucion-GN";"Anexo F",#N/A,FALSE,"Transporte-Petroperu";"Anexo G",#N/A,FALSE,"Distribucion-Gastalsa"}</definedName>
    <definedName name="otro2" localSheetId="4" hidden="1">{"Anexo A",#N/A,FALSE,"Generacion";"Anexo B",#N/A,FALSE,"Transmision";"Anexo C",#N/A,FALSE,"Distribucion";"Anexo D",#N/A,FALSE,"Transporte-Hidrocarburos";"Anexo E",#N/A,FALSE,"Distribucion-GN";"Anexo F",#N/A,FALSE,"Transporte-Petroperu";"Anexo G",#N/A,FALSE,"Distribucion-Gastalsa"}</definedName>
    <definedName name="otro2" hidden="1">{"Anexo A",#N/A,FALSE,"Generacion";"Anexo B",#N/A,FALSE,"Transmision";"Anexo C",#N/A,FALSE,"Distribucion";"Anexo D",#N/A,FALSE,"Transporte-Hidrocarburos";"Anexo E",#N/A,FALSE,"Distribucion-GN";"Anexo F",#N/A,FALSE,"Transporte-Petroperu";"Anexo G",#N/A,FALSE,"Distribucion-Gastalsa"}</definedName>
    <definedName name="TablaA" localSheetId="3">Historico!#REF!</definedName>
    <definedName name="TablaA">Factores!$O$25:$Q$25</definedName>
    <definedName name="TCconexion" localSheetId="3">Historico!#REF!</definedName>
    <definedName name="TCconexion">Factores!$C$69</definedName>
    <definedName name="_xlnm.Print_Titles" localSheetId="1">Factores!$1:$3</definedName>
    <definedName name="_xlnm.Print_Titles" localSheetId="3">Historico!$1:$3</definedName>
    <definedName name="_xlnm.Print_Titles" localSheetId="2">PCSPT!$1:$2</definedName>
    <definedName name="_xlnm.Print_Titles" localSheetId="6">TA_VAD!$1:$2</definedName>
    <definedName name="Vigencia">[1]Datos!$C$2</definedName>
    <definedName name="wrn.Todo." localSheetId="4" hidden="1">{"Anexo A",#N/A,FALSE,"Generacion";"Anexo B",#N/A,FALSE,"Transmision";"Anexo C",#N/A,FALSE,"Distribucion";"Anexo D",#N/A,FALSE,"Transporte-Hidrocarburos";"Anexo E",#N/A,FALSE,"Distribucion-GN";"Anexo F",#N/A,FALSE,"Transporte-Petroperu";"Anexo G",#N/A,FALSE,"Distribucion-Gastalsa"}</definedName>
    <definedName name="wrn.Todo." hidden="1">{"Anexo A",#N/A,FALSE,"Generacion";"Anexo B",#N/A,FALSE,"Transmision";"Anexo C",#N/A,FALSE,"Distribucion";"Anexo D",#N/A,FALSE,"Transporte-Hidrocarburos";"Anexo E",#N/A,FALSE,"Distribucion-GN";"Anexo F",#N/A,FALSE,"Transporte-Petroperu";"Anexo G",#N/A,FALSE,"Distribucion-Gastalsa"}</definedName>
    <definedName name="y" localSheetId="4" hidden="1">{"Anexo A",#N/A,FALSE,"Generacion";"Anexo B",#N/A,FALSE,"Transmision";"Anexo C",#N/A,FALSE,"Distribucion";"Anexo D",#N/A,FALSE,"Transporte-Hidrocarburos";"Anexo E",#N/A,FALSE,"Distribucion-GN";"Anexo F",#N/A,FALSE,"Transporte-Petroperu";"Anexo G",#N/A,FALSE,"Distribucion-Gastalsa"}</definedName>
    <definedName name="y" hidden="1">{"Anexo A",#N/A,FALSE,"Generacion";"Anexo B",#N/A,FALSE,"Transmision";"Anexo C",#N/A,FALSE,"Distribucion";"Anexo D",#N/A,FALSE,"Transporte-Hidrocarburos";"Anexo E",#N/A,FALSE,"Distribucion-GN";"Anexo F",#N/A,FALSE,"Transporte-Petroperu";"Anexo G",#N/A,FALSE,"Distribucion-Gastalsa"}</definedName>
    <definedName name="yy" localSheetId="4" hidden="1">{"Anexo A",#N/A,FALSE,"Generacion";"Anexo B",#N/A,FALSE,"Transmision";"Anexo C",#N/A,FALSE,"Distribucion";"Anexo D",#N/A,FALSE,"Transporte-Hidrocarburos";"Anexo E",#N/A,FALSE,"Distribucion-GN";"Anexo F",#N/A,FALSE,"Transporte-Petroperu";"Anexo G",#N/A,FALSE,"Distribucion-Gastalsa"}</definedName>
    <definedName name="yy" hidden="1">{"Anexo A",#N/A,FALSE,"Generacion";"Anexo B",#N/A,FALSE,"Transmision";"Anexo C",#N/A,FALSE,"Distribucion";"Anexo D",#N/A,FALSE,"Transporte-Hidrocarburos";"Anexo E",#N/A,FALSE,"Distribucion-GN";"Anexo F",#N/A,FALSE,"Transporte-Petroperu";"Anexo G",#N/A,FALSE,"Distribucion-Gastalsa"}</definedName>
  </definedNames>
  <calcPr calcId="145621"/>
</workbook>
</file>

<file path=xl/calcChain.xml><?xml version="1.0" encoding="utf-8"?>
<calcChain xmlns="http://schemas.openxmlformats.org/spreadsheetml/2006/main">
  <c r="C12" i="292" l="1"/>
  <c r="B2" i="290" l="1"/>
  <c r="D18" i="290" l="1"/>
  <c r="D56" i="290" l="1"/>
  <c r="V10" i="280"/>
  <c r="Z10" i="280"/>
  <c r="B11" i="280"/>
  <c r="B12" i="280"/>
  <c r="H131" i="297" l="1"/>
  <c r="H129" i="297"/>
  <c r="H127" i="297"/>
  <c r="H124" i="297"/>
  <c r="H120" i="297"/>
  <c r="H117" i="297"/>
  <c r="H113" i="297"/>
  <c r="H107" i="297"/>
  <c r="H98" i="297"/>
  <c r="H93" i="297"/>
  <c r="H85" i="297"/>
  <c r="H77" i="297"/>
  <c r="H74" i="297"/>
  <c r="H69" i="297"/>
  <c r="H64" i="297"/>
  <c r="E131" i="297"/>
  <c r="E129" i="297"/>
  <c r="E127" i="297"/>
  <c r="E124" i="297"/>
  <c r="E120" i="297"/>
  <c r="E117" i="297"/>
  <c r="E113" i="297"/>
  <c r="E107" i="297"/>
  <c r="E98" i="297"/>
  <c r="E93" i="297"/>
  <c r="E85" i="297"/>
  <c r="E77" i="297"/>
  <c r="E74" i="297"/>
  <c r="E69" i="297"/>
  <c r="E64" i="297"/>
  <c r="E9" i="292"/>
  <c r="F9" i="292"/>
  <c r="AK64" i="280"/>
  <c r="F56" i="290"/>
  <c r="D19" i="290"/>
  <c r="E19" i="290" s="1"/>
  <c r="D20" i="290"/>
  <c r="E20" i="290" s="1"/>
  <c r="D22" i="290"/>
  <c r="E22" i="290" s="1"/>
  <c r="I24" i="291"/>
  <c r="G97" i="297"/>
  <c r="I97" i="297" s="1"/>
  <c r="G92" i="297"/>
  <c r="I92" i="297" s="1"/>
  <c r="J9" i="291" l="1"/>
  <c r="E6" i="291" s="1"/>
  <c r="D29" i="290" s="1"/>
  <c r="E29" i="290" s="1"/>
  <c r="F9" i="291"/>
  <c r="E60" i="291"/>
  <c r="E61" i="291" s="1"/>
  <c r="E62" i="291" s="1"/>
  <c r="E63" i="291" s="1"/>
  <c r="B20" i="280"/>
  <c r="B21" i="280"/>
  <c r="C21" i="280" s="1"/>
  <c r="D20" i="280"/>
  <c r="D21" i="280" l="1"/>
  <c r="F21" i="280"/>
  <c r="B51" i="280" l="1"/>
  <c r="B6" i="280" l="1"/>
  <c r="B7" i="280"/>
  <c r="B8" i="280"/>
  <c r="B9" i="280"/>
  <c r="B10" i="280"/>
  <c r="B13" i="280"/>
  <c r="B14" i="280"/>
  <c r="B15" i="280"/>
  <c r="B16" i="280"/>
  <c r="B17" i="280"/>
  <c r="B18" i="280"/>
  <c r="B19" i="280"/>
  <c r="B22" i="280"/>
  <c r="B23" i="280"/>
  <c r="B24" i="280"/>
  <c r="B25" i="280"/>
  <c r="B26" i="280"/>
  <c r="B27" i="280"/>
  <c r="B28" i="280"/>
  <c r="B29" i="280"/>
  <c r="B30" i="280"/>
  <c r="B31" i="280"/>
  <c r="B32" i="280"/>
  <c r="B33" i="280"/>
  <c r="B34" i="280"/>
  <c r="B35" i="280"/>
  <c r="B36" i="280"/>
  <c r="B37" i="280"/>
  <c r="B38" i="280"/>
  <c r="B39" i="280"/>
  <c r="B40" i="280"/>
  <c r="B41" i="280"/>
  <c r="B42" i="280"/>
  <c r="B43" i="280"/>
  <c r="B44" i="280"/>
  <c r="B45" i="280"/>
  <c r="B46" i="280"/>
  <c r="B47" i="280"/>
  <c r="B48" i="280"/>
  <c r="B49" i="280"/>
  <c r="B50" i="280"/>
  <c r="B52" i="280"/>
  <c r="B53" i="280"/>
  <c r="B54" i="280"/>
  <c r="B55" i="280"/>
  <c r="B56" i="280"/>
  <c r="B57" i="280"/>
  <c r="B58" i="280"/>
  <c r="B59" i="280"/>
  <c r="B60" i="280"/>
  <c r="B61" i="280"/>
  <c r="B62" i="280"/>
  <c r="B63" i="280"/>
  <c r="B64" i="280"/>
  <c r="B65" i="280"/>
  <c r="B66" i="280"/>
  <c r="B67" i="280"/>
  <c r="B68" i="280"/>
  <c r="B69" i="280"/>
  <c r="B70" i="280"/>
  <c r="B71" i="280"/>
  <c r="B72" i="280"/>
  <c r="B73" i="280"/>
  <c r="B74" i="280"/>
  <c r="B75" i="280"/>
  <c r="B76" i="280"/>
  <c r="B77" i="280"/>
  <c r="B78" i="280"/>
  <c r="B79" i="280"/>
  <c r="B80" i="280"/>
  <c r="B81" i="280"/>
  <c r="B82" i="280"/>
  <c r="B83" i="280"/>
  <c r="B84" i="280"/>
  <c r="B85" i="280"/>
  <c r="B86" i="280"/>
  <c r="B87" i="280"/>
  <c r="B88" i="280"/>
  <c r="B89" i="280"/>
  <c r="B90" i="280"/>
  <c r="B91" i="280"/>
  <c r="B92" i="280"/>
  <c r="B93" i="280"/>
  <c r="B94" i="280"/>
  <c r="B95" i="280"/>
  <c r="B96" i="280"/>
  <c r="B97" i="280"/>
  <c r="B98" i="280"/>
  <c r="B99" i="280"/>
  <c r="B100" i="280"/>
  <c r="B101" i="280"/>
  <c r="B102" i="280"/>
  <c r="B103" i="280"/>
  <c r="B104" i="280"/>
  <c r="B105" i="280"/>
  <c r="AJ58" i="280" l="1"/>
  <c r="AL30" i="280"/>
  <c r="AK30" i="280"/>
  <c r="AN10" i="280" l="1"/>
  <c r="AL10" i="280"/>
  <c r="AK10" i="280"/>
  <c r="AJ10" i="280"/>
  <c r="F20" i="297" l="1"/>
  <c r="F18" i="297"/>
  <c r="F19" i="297"/>
  <c r="F21" i="297"/>
  <c r="F22" i="297"/>
  <c r="F23" i="297"/>
  <c r="F24" i="297"/>
  <c r="F25" i="297"/>
  <c r="F26" i="297"/>
  <c r="F27" i="297"/>
  <c r="F28" i="297"/>
  <c r="F29" i="297"/>
  <c r="F30" i="297"/>
  <c r="B23" i="300" l="1"/>
  <c r="E22" i="300"/>
  <c r="G22" i="300" s="1"/>
  <c r="B22" i="300"/>
  <c r="D20" i="300"/>
  <c r="G19" i="300"/>
  <c r="D19" i="300"/>
  <c r="G8" i="300"/>
  <c r="K7" i="300"/>
  <c r="G7" i="300"/>
  <c r="G6" i="300"/>
  <c r="G5" i="300"/>
  <c r="H4" i="300"/>
  <c r="G4" i="300"/>
  <c r="AD86" i="280"/>
  <c r="AJ39" i="280"/>
  <c r="AF86" i="280"/>
  <c r="AE86" i="280"/>
  <c r="AL58" i="280"/>
  <c r="AK58" i="280"/>
  <c r="AL39" i="280"/>
  <c r="AK39" i="280"/>
  <c r="D22" i="300" l="1"/>
  <c r="D23" i="300"/>
  <c r="F3" i="280" l="1"/>
  <c r="D60" i="291"/>
  <c r="D59" i="291"/>
  <c r="C59" i="291"/>
  <c r="D58" i="291"/>
  <c r="C58" i="291"/>
  <c r="D57" i="291"/>
  <c r="C57" i="291"/>
  <c r="D56" i="291"/>
  <c r="C56" i="291"/>
  <c r="D55" i="291"/>
  <c r="C55" i="291"/>
  <c r="D54" i="291"/>
  <c r="C54" i="291"/>
  <c r="D53" i="291"/>
  <c r="C53" i="291"/>
  <c r="D52" i="291"/>
  <c r="C52" i="291"/>
  <c r="D51" i="291"/>
  <c r="C51" i="291"/>
  <c r="D50" i="291"/>
  <c r="C50" i="291"/>
  <c r="D49" i="291"/>
  <c r="C49" i="291"/>
  <c r="D48" i="291"/>
  <c r="C48" i="291"/>
  <c r="D47" i="291"/>
  <c r="C47" i="291"/>
  <c r="D46" i="291"/>
  <c r="C46" i="291"/>
  <c r="D45" i="291"/>
  <c r="C45" i="291"/>
  <c r="D44" i="291"/>
  <c r="C44" i="291"/>
  <c r="D43" i="291"/>
  <c r="C43" i="291"/>
  <c r="D42" i="291"/>
  <c r="C42" i="291"/>
  <c r="D41" i="291"/>
  <c r="C41" i="291"/>
  <c r="D40" i="291"/>
  <c r="C40" i="291"/>
  <c r="D39" i="291"/>
  <c r="C39" i="291"/>
  <c r="D38" i="291"/>
  <c r="C38" i="291"/>
  <c r="D37" i="291"/>
  <c r="C37" i="291"/>
  <c r="D36" i="291"/>
  <c r="C36" i="291"/>
  <c r="D35" i="291"/>
  <c r="C35" i="291"/>
  <c r="D34" i="291"/>
  <c r="C34" i="291"/>
  <c r="D33" i="291"/>
  <c r="C33" i="291"/>
  <c r="D32" i="291"/>
  <c r="C32" i="291"/>
  <c r="D31" i="291"/>
  <c r="C31" i="291"/>
  <c r="D30" i="291"/>
  <c r="C30" i="291"/>
  <c r="D29" i="291"/>
  <c r="C29" i="291"/>
  <c r="D28" i="291"/>
  <c r="C28" i="291"/>
  <c r="D27" i="291"/>
  <c r="C27" i="291"/>
  <c r="D26" i="291"/>
  <c r="C26" i="291"/>
  <c r="D25" i="291"/>
  <c r="C25" i="291"/>
  <c r="D24" i="291"/>
  <c r="C24" i="291"/>
  <c r="D23" i="291"/>
  <c r="C23" i="291"/>
  <c r="D22" i="291"/>
  <c r="C22" i="291"/>
  <c r="D21" i="291"/>
  <c r="C21" i="291"/>
  <c r="D20" i="291"/>
  <c r="C20" i="291"/>
  <c r="D19" i="291"/>
  <c r="C19" i="291"/>
  <c r="D18" i="291"/>
  <c r="C18" i="291"/>
  <c r="D17" i="291"/>
  <c r="C17" i="291"/>
  <c r="D16" i="291"/>
  <c r="C16" i="291"/>
  <c r="D15" i="291"/>
  <c r="C15" i="291"/>
  <c r="D14" i="291"/>
  <c r="C14" i="291"/>
  <c r="D13" i="291"/>
  <c r="C13" i="291"/>
  <c r="D12" i="291"/>
  <c r="C12" i="291"/>
  <c r="R9" i="292"/>
  <c r="AM10" i="280" l="1"/>
  <c r="D21" i="290"/>
  <c r="E21" i="290" s="1"/>
  <c r="C60" i="291"/>
  <c r="D61" i="291"/>
  <c r="C61" i="291" l="1"/>
  <c r="B135" i="297"/>
  <c r="B39" i="297"/>
  <c r="B5" i="297"/>
  <c r="A2" i="280"/>
  <c r="B6" i="291"/>
  <c r="C62" i="291" l="1"/>
  <c r="D62" i="291"/>
  <c r="L16" i="280"/>
  <c r="J16" i="280"/>
  <c r="B4" i="280"/>
  <c r="B5" i="280"/>
  <c r="C12" i="290"/>
  <c r="F12" i="290" s="1"/>
  <c r="B3" i="280"/>
  <c r="C3" i="280"/>
  <c r="E13" i="292"/>
  <c r="D28" i="290" s="1"/>
  <c r="E28" i="290" s="1"/>
  <c r="F11" i="292"/>
  <c r="D27" i="290" s="1"/>
  <c r="E27" i="290" s="1"/>
  <c r="E11" i="292"/>
  <c r="D26" i="290" s="1"/>
  <c r="E26" i="290" s="1"/>
  <c r="E10" i="292"/>
  <c r="D25" i="290" s="1"/>
  <c r="E25" i="290" s="1"/>
  <c r="D63" i="291" l="1"/>
  <c r="C63" i="291"/>
  <c r="H173" i="287"/>
  <c r="A173" i="287"/>
  <c r="H145" i="287"/>
  <c r="H117" i="287"/>
  <c r="A145" i="287"/>
  <c r="A117" i="287"/>
  <c r="H88" i="287"/>
  <c r="H62" i="287"/>
  <c r="A88" i="287"/>
  <c r="J10" i="292" l="1"/>
  <c r="G60" i="290" s="1"/>
  <c r="J12" i="292"/>
  <c r="G62" i="290" s="1"/>
  <c r="J13" i="292"/>
  <c r="G63" i="290" s="1"/>
  <c r="D34" i="290" l="1"/>
  <c r="D43" i="290" s="1"/>
  <c r="I35" i="290" s="1"/>
  <c r="I43" i="290" l="1"/>
  <c r="N35" i="290" s="1"/>
  <c r="N44" i="290" s="1"/>
  <c r="AI85" i="280"/>
  <c r="AG85" i="280"/>
  <c r="AJ30" i="280"/>
  <c r="AK85" i="280"/>
  <c r="N19" i="280"/>
  <c r="I13" i="292"/>
  <c r="F63" i="290" s="1"/>
  <c r="H63" i="290" s="1"/>
  <c r="P22" i="280"/>
  <c r="AN11" i="280"/>
  <c r="D34" i="297"/>
  <c r="F16" i="297"/>
  <c r="F17" i="297"/>
  <c r="F31" i="297"/>
  <c r="D23" i="290"/>
  <c r="E23" i="290" s="1"/>
  <c r="P18" i="280"/>
  <c r="Q18" i="280"/>
  <c r="E12" i="292"/>
  <c r="M6" i="287"/>
  <c r="M7" i="287"/>
  <c r="M13" i="287" s="1"/>
  <c r="M8" i="287"/>
  <c r="M9" i="287"/>
  <c r="M23" i="287" s="1"/>
  <c r="M11" i="287"/>
  <c r="M12" i="287"/>
  <c r="M26" i="287" s="1"/>
  <c r="M24" i="287"/>
  <c r="R106" i="280"/>
  <c r="Q106" i="280"/>
  <c r="P106" i="280"/>
  <c r="O106" i="280"/>
  <c r="N106" i="280"/>
  <c r="M106" i="280"/>
  <c r="L106" i="280"/>
  <c r="K106" i="280"/>
  <c r="J106" i="280"/>
  <c r="I106" i="280"/>
  <c r="M18" i="287"/>
  <c r="M16" i="287"/>
  <c r="R105" i="280"/>
  <c r="Q105" i="280"/>
  <c r="P105" i="280"/>
  <c r="O105" i="280"/>
  <c r="N105" i="280"/>
  <c r="M105" i="280"/>
  <c r="L105" i="280"/>
  <c r="K105" i="280"/>
  <c r="J105" i="280"/>
  <c r="I105" i="280"/>
  <c r="R104" i="280"/>
  <c r="Q104" i="280"/>
  <c r="P104" i="280"/>
  <c r="O104" i="280"/>
  <c r="N104" i="280"/>
  <c r="M104" i="280"/>
  <c r="L104" i="280"/>
  <c r="K104" i="280"/>
  <c r="J104" i="280"/>
  <c r="I104" i="280"/>
  <c r="AL29" i="280"/>
  <c r="AK29" i="280"/>
  <c r="P21" i="280"/>
  <c r="P19" i="280"/>
  <c r="P20" i="280"/>
  <c r="Q20" i="280"/>
  <c r="K16" i="280"/>
  <c r="M16" i="280"/>
  <c r="J18" i="280"/>
  <c r="K18" i="280"/>
  <c r="L18" i="280"/>
  <c r="M18" i="280"/>
  <c r="L19" i="280"/>
  <c r="O19" i="280"/>
  <c r="Q19" i="280"/>
  <c r="L20" i="280"/>
  <c r="M20" i="280"/>
  <c r="O21" i="280"/>
  <c r="Q21" i="280"/>
  <c r="L22" i="280"/>
  <c r="O22" i="280"/>
  <c r="Q22" i="280"/>
  <c r="AJ29" i="280"/>
  <c r="N40" i="290"/>
  <c r="O40" i="290" s="1"/>
  <c r="M21" i="287"/>
  <c r="D6" i="291"/>
  <c r="AN30" i="280" s="1"/>
  <c r="AE32" i="280" s="1"/>
  <c r="M14" i="287"/>
  <c r="M22" i="287"/>
  <c r="M20" i="287"/>
  <c r="R92" i="280"/>
  <c r="R96" i="280" s="1"/>
  <c r="L92" i="280"/>
  <c r="L96" i="280" s="1"/>
  <c r="P92" i="280"/>
  <c r="P96" i="280" s="1"/>
  <c r="M92" i="280"/>
  <c r="M96" i="280" s="1"/>
  <c r="I92" i="280"/>
  <c r="I96" i="280" s="1"/>
  <c r="J9" i="292" l="1"/>
  <c r="G59" i="290" s="1"/>
  <c r="I59" i="290" s="1"/>
  <c r="D24" i="290"/>
  <c r="E24" i="290" s="1"/>
  <c r="I39" i="290"/>
  <c r="I47" i="290" s="1"/>
  <c r="N39" i="290" s="1"/>
  <c r="O39" i="290" s="1"/>
  <c r="AN39" i="280"/>
  <c r="AJ86" i="280"/>
  <c r="AN58" i="280"/>
  <c r="AM30" i="280"/>
  <c r="AE31" i="280" s="1"/>
  <c r="AL31" i="280"/>
  <c r="K92" i="280"/>
  <c r="K96" i="280" s="1"/>
  <c r="AE16" i="280"/>
  <c r="N22" i="280"/>
  <c r="D51" i="290"/>
  <c r="E51" i="290" s="1"/>
  <c r="D49" i="290"/>
  <c r="E49" i="290" s="1"/>
  <c r="I11" i="292"/>
  <c r="F61" i="290" s="1"/>
  <c r="H61" i="290" s="1"/>
  <c r="O20" i="280"/>
  <c r="AE18" i="280" s="1"/>
  <c r="J11" i="292"/>
  <c r="G61" i="290" s="1"/>
  <c r="I61" i="290" s="1"/>
  <c r="N18" i="280"/>
  <c r="AE12" i="280" s="1"/>
  <c r="I9" i="292"/>
  <c r="F59" i="290" s="1"/>
  <c r="H59" i="290" s="1"/>
  <c r="D48" i="290"/>
  <c r="E48" i="290" s="1"/>
  <c r="I10" i="292"/>
  <c r="F60" i="290" s="1"/>
  <c r="H60" i="290" s="1"/>
  <c r="AE20" i="280"/>
  <c r="D30" i="290"/>
  <c r="E30" i="290" s="1"/>
  <c r="I38" i="290"/>
  <c r="I46" i="290" s="1"/>
  <c r="D45" i="290"/>
  <c r="D36" i="290"/>
  <c r="E36" i="290" s="1"/>
  <c r="D50" i="290"/>
  <c r="E50" i="290" s="1"/>
  <c r="AK11" i="280"/>
  <c r="AE8" i="280"/>
  <c r="AE40" i="280"/>
  <c r="S28" i="280" s="1"/>
  <c r="AN59" i="280"/>
  <c r="AN31" i="280"/>
  <c r="AE30" i="280"/>
  <c r="AE37" i="280"/>
  <c r="D44" i="290"/>
  <c r="L21" i="280"/>
  <c r="AE9" i="280"/>
  <c r="AL11" i="280"/>
  <c r="D35" i="290"/>
  <c r="E35" i="290" s="1"/>
  <c r="D38" i="290"/>
  <c r="E38" i="290" s="1"/>
  <c r="D47" i="290"/>
  <c r="E47" i="290" s="1"/>
  <c r="M17" i="287"/>
  <c r="M25" i="287"/>
  <c r="N92" i="280"/>
  <c r="N96" i="280" s="1"/>
  <c r="O18" i="280"/>
  <c r="AE13" i="280" s="1"/>
  <c r="O92" i="280"/>
  <c r="O96" i="280" s="1"/>
  <c r="J92" i="280"/>
  <c r="J96" i="280" s="1"/>
  <c r="Q92" i="280"/>
  <c r="Q96" i="280" s="1"/>
  <c r="N20" i="280"/>
  <c r="AE17" i="280" s="1"/>
  <c r="M15" i="287"/>
  <c r="J39" i="290" l="1"/>
  <c r="J38" i="290"/>
  <c r="AM31" i="280"/>
  <c r="E8" i="300"/>
  <c r="E7" i="300"/>
  <c r="E5" i="300"/>
  <c r="E4" i="300"/>
  <c r="E6" i="300"/>
  <c r="D6" i="300"/>
  <c r="D8" i="300"/>
  <c r="F8" i="300" s="1"/>
  <c r="I8" i="300" s="1"/>
  <c r="C16" i="300" s="1"/>
  <c r="E16" i="300" s="1"/>
  <c r="G16" i="300" s="1"/>
  <c r="D7" i="300"/>
  <c r="F7" i="300" s="1"/>
  <c r="I7" i="300" s="1"/>
  <c r="C15" i="300" s="1"/>
  <c r="E15" i="300" s="1"/>
  <c r="G15" i="300" s="1"/>
  <c r="D5" i="300"/>
  <c r="F5" i="300" s="1"/>
  <c r="I5" i="300" s="1"/>
  <c r="C13" i="300" s="1"/>
  <c r="E13" i="300" s="1"/>
  <c r="G13" i="300" s="1"/>
  <c r="D4" i="300"/>
  <c r="F4" i="300" s="1"/>
  <c r="I4" i="300" s="1"/>
  <c r="AH86" i="280"/>
  <c r="AH87" i="280" s="1"/>
  <c r="AM58" i="280"/>
  <c r="AM39" i="280"/>
  <c r="N21" i="280"/>
  <c r="AE19" i="280" s="1"/>
  <c r="I12" i="292"/>
  <c r="F62" i="290" s="1"/>
  <c r="H62" i="290" s="1"/>
  <c r="J47" i="290"/>
  <c r="AN40" i="280"/>
  <c r="AE10" i="280"/>
  <c r="AM11" i="280"/>
  <c r="AK31" i="280"/>
  <c r="AE29" i="280"/>
  <c r="C29" i="280" s="1"/>
  <c r="E45" i="290"/>
  <c r="I37" i="290"/>
  <c r="D46" i="290"/>
  <c r="E46" i="290" s="1"/>
  <c r="D37" i="290"/>
  <c r="E37" i="290" s="1"/>
  <c r="D39" i="290"/>
  <c r="E39" i="290" s="1"/>
  <c r="AK40" i="280"/>
  <c r="AE38" i="280"/>
  <c r="Q28" i="280" s="1"/>
  <c r="AJ87" i="280"/>
  <c r="AJ72" i="280"/>
  <c r="Q93" i="280"/>
  <c r="J93" i="280"/>
  <c r="N93" i="280"/>
  <c r="L93" i="280"/>
  <c r="O93" i="280"/>
  <c r="P93" i="280"/>
  <c r="R93" i="280"/>
  <c r="I93" i="280"/>
  <c r="M93" i="280"/>
  <c r="K93" i="280"/>
  <c r="D40" i="290"/>
  <c r="E40" i="290" s="1"/>
  <c r="AJ70" i="280"/>
  <c r="AL59" i="280"/>
  <c r="E44" i="290"/>
  <c r="I36" i="290"/>
  <c r="J46" i="290"/>
  <c r="N38" i="290"/>
  <c r="O38" i="290" s="1"/>
  <c r="P28" i="280"/>
  <c r="AL40" i="280"/>
  <c r="AK59" i="280"/>
  <c r="AJ69" i="280"/>
  <c r="J94" i="280"/>
  <c r="J98" i="280" s="1"/>
  <c r="Q94" i="280"/>
  <c r="Q98" i="280" s="1"/>
  <c r="L94" i="280"/>
  <c r="L98" i="280" s="1"/>
  <c r="O94" i="280"/>
  <c r="O98" i="280" s="1"/>
  <c r="M94" i="280"/>
  <c r="M98" i="280" s="1"/>
  <c r="I94" i="280"/>
  <c r="I98" i="280" s="1"/>
  <c r="P94" i="280"/>
  <c r="P98" i="280" s="1"/>
  <c r="N94" i="280"/>
  <c r="N98" i="280" s="1"/>
  <c r="R94" i="280"/>
  <c r="R98" i="280" s="1"/>
  <c r="K94" i="280"/>
  <c r="K98" i="280" s="1"/>
  <c r="C6" i="280"/>
  <c r="D6" i="280" s="1"/>
  <c r="AE11" i="280"/>
  <c r="C12" i="280" l="1"/>
  <c r="D12" i="280" s="1"/>
  <c r="C8" i="280"/>
  <c r="D8" i="280" s="1"/>
  <c r="D7" i="290" s="1"/>
  <c r="C24" i="280"/>
  <c r="D24" i="280" s="1"/>
  <c r="F6" i="300"/>
  <c r="I6" i="300" s="1"/>
  <c r="C14" i="300" s="1"/>
  <c r="E14" i="300" s="1"/>
  <c r="G14" i="300" s="1"/>
  <c r="C12" i="300"/>
  <c r="E12" i="300" s="1"/>
  <c r="G12" i="300" s="1"/>
  <c r="D12" i="300"/>
  <c r="F12" i="300" s="1"/>
  <c r="H12" i="300" s="1"/>
  <c r="AJ71" i="280"/>
  <c r="AM59" i="280"/>
  <c r="AM40" i="280"/>
  <c r="AE39" i="280"/>
  <c r="R28" i="280" s="1"/>
  <c r="C51" i="280" s="1"/>
  <c r="D29" i="280"/>
  <c r="C33" i="280"/>
  <c r="C26" i="280"/>
  <c r="C11" i="280"/>
  <c r="D11" i="280" s="1"/>
  <c r="C30" i="280"/>
  <c r="D30" i="280" s="1"/>
  <c r="C27" i="280"/>
  <c r="C23" i="280"/>
  <c r="C28" i="280"/>
  <c r="C25" i="280"/>
  <c r="C17" i="280"/>
  <c r="D17" i="280" s="1"/>
  <c r="C10" i="280"/>
  <c r="D10" i="280" s="1"/>
  <c r="J37" i="290"/>
  <c r="I45" i="290"/>
  <c r="C13" i="280"/>
  <c r="D13" i="280" s="1"/>
  <c r="C9" i="280"/>
  <c r="D9" i="280" s="1"/>
  <c r="C14" i="280"/>
  <c r="D14" i="280" s="1"/>
  <c r="C18" i="280"/>
  <c r="D18" i="280" s="1"/>
  <c r="C105" i="280"/>
  <c r="D105" i="280" s="1"/>
  <c r="AF87" i="280"/>
  <c r="P85" i="280"/>
  <c r="P87" i="280" s="1"/>
  <c r="C87" i="280"/>
  <c r="D87" i="280" s="1"/>
  <c r="R73" i="280"/>
  <c r="R75" i="280" s="1"/>
  <c r="O85" i="280"/>
  <c r="O87" i="280" s="1"/>
  <c r="M69" i="280"/>
  <c r="O73" i="280"/>
  <c r="O75" i="280" s="1"/>
  <c r="I73" i="280"/>
  <c r="I75" i="280" s="1"/>
  <c r="I85" i="280"/>
  <c r="I87" i="280" s="1"/>
  <c r="L85" i="280"/>
  <c r="L87" i="280" s="1"/>
  <c r="AJ73" i="280"/>
  <c r="N69" i="280"/>
  <c r="L79" i="280"/>
  <c r="L73" i="280"/>
  <c r="L75" i="280" s="1"/>
  <c r="Q79" i="280"/>
  <c r="O79" i="280"/>
  <c r="Q85" i="280"/>
  <c r="Q87" i="280" s="1"/>
  <c r="K73" i="280"/>
  <c r="K75" i="280" s="1"/>
  <c r="N73" i="280"/>
  <c r="N75" i="280" s="1"/>
  <c r="P73" i="280"/>
  <c r="P75" i="280" s="1"/>
  <c r="AJ74" i="280"/>
  <c r="J79" i="280"/>
  <c r="P79" i="280"/>
  <c r="M71" i="280"/>
  <c r="I71" i="280"/>
  <c r="I79" i="280"/>
  <c r="Q69" i="280"/>
  <c r="P69" i="280"/>
  <c r="J85" i="280"/>
  <c r="J87" i="280" s="1"/>
  <c r="N85" i="280"/>
  <c r="N87" i="280" s="1"/>
  <c r="L69" i="280"/>
  <c r="N79" i="280"/>
  <c r="N71" i="280"/>
  <c r="R71" i="280"/>
  <c r="K85" i="280"/>
  <c r="K87" i="280" s="1"/>
  <c r="I69" i="280"/>
  <c r="M79" i="280"/>
  <c r="J73" i="280"/>
  <c r="J75" i="280" s="1"/>
  <c r="Q73" i="280"/>
  <c r="Q75" i="280" s="1"/>
  <c r="M85" i="280"/>
  <c r="M87" i="280" s="1"/>
  <c r="O69" i="280"/>
  <c r="K69" i="280"/>
  <c r="J71" i="280"/>
  <c r="K79" i="280"/>
  <c r="M73" i="280"/>
  <c r="M75" i="280" s="1"/>
  <c r="R69" i="280"/>
  <c r="J69" i="280"/>
  <c r="R85" i="280"/>
  <c r="R87" i="280" s="1"/>
  <c r="R79" i="280"/>
  <c r="L71" i="280"/>
  <c r="K71" i="280"/>
  <c r="P71" i="280"/>
  <c r="Q71" i="280"/>
  <c r="O71" i="280"/>
  <c r="N45" i="290"/>
  <c r="O45" i="290" s="1"/>
  <c r="I97" i="280"/>
  <c r="I70" i="280" s="1"/>
  <c r="N48" i="290"/>
  <c r="O48" i="290" s="1"/>
  <c r="L97" i="280"/>
  <c r="L70" i="280" s="1"/>
  <c r="C19" i="280"/>
  <c r="D19" i="280" s="1"/>
  <c r="I80" i="280"/>
  <c r="Q74" i="280"/>
  <c r="M74" i="280"/>
  <c r="O74" i="280"/>
  <c r="J74" i="280"/>
  <c r="I86" i="280"/>
  <c r="P80" i="280"/>
  <c r="M86" i="280"/>
  <c r="O80" i="280"/>
  <c r="J80" i="280"/>
  <c r="O86" i="280"/>
  <c r="R74" i="280"/>
  <c r="P74" i="280"/>
  <c r="J86" i="280"/>
  <c r="P86" i="280"/>
  <c r="N80" i="280"/>
  <c r="K86" i="280"/>
  <c r="N74" i="280"/>
  <c r="Q80" i="280"/>
  <c r="K74" i="280"/>
  <c r="I74" i="280"/>
  <c r="M80" i="280"/>
  <c r="C86" i="280"/>
  <c r="D86" i="280" s="1"/>
  <c r="L86" i="280"/>
  <c r="L80" i="280"/>
  <c r="R86" i="280"/>
  <c r="N86" i="280"/>
  <c r="R80" i="280"/>
  <c r="Q86" i="280"/>
  <c r="K80" i="280"/>
  <c r="L74" i="280"/>
  <c r="AG86" i="280"/>
  <c r="AG87" i="280" s="1"/>
  <c r="AE87" i="280"/>
  <c r="AI86" i="280"/>
  <c r="AI87" i="280" s="1"/>
  <c r="AK86" i="280"/>
  <c r="AK87" i="280" s="1"/>
  <c r="R97" i="280"/>
  <c r="R70" i="280" s="1"/>
  <c r="N54" i="290"/>
  <c r="O54" i="290" s="1"/>
  <c r="N97" i="280"/>
  <c r="N70" i="280" s="1"/>
  <c r="N50" i="290"/>
  <c r="O50" i="290" s="1"/>
  <c r="C16" i="280"/>
  <c r="D16" i="280" s="1"/>
  <c r="C15" i="280"/>
  <c r="D15" i="280" s="1"/>
  <c r="C47" i="280"/>
  <c r="C34" i="280"/>
  <c r="C41" i="280"/>
  <c r="C37" i="280"/>
  <c r="C39" i="280"/>
  <c r="C42" i="280"/>
  <c r="C43" i="280"/>
  <c r="C40" i="280"/>
  <c r="C36" i="280"/>
  <c r="C32" i="280"/>
  <c r="C38" i="280"/>
  <c r="C46" i="280"/>
  <c r="C49" i="280"/>
  <c r="C45" i="280"/>
  <c r="C35" i="280"/>
  <c r="C44" i="280"/>
  <c r="C48" i="280"/>
  <c r="N47" i="290"/>
  <c r="O47" i="290" s="1"/>
  <c r="K97" i="280"/>
  <c r="K70" i="280" s="1"/>
  <c r="N52" i="290"/>
  <c r="O52" i="290" s="1"/>
  <c r="P97" i="280"/>
  <c r="P70" i="280" s="1"/>
  <c r="J97" i="280"/>
  <c r="J70" i="280" s="1"/>
  <c r="N46" i="290"/>
  <c r="O46" i="290" s="1"/>
  <c r="AJ79" i="280"/>
  <c r="C88" i="280" s="1"/>
  <c r="D88" i="280" s="1"/>
  <c r="AK65" i="280"/>
  <c r="J36" i="290"/>
  <c r="I44" i="290"/>
  <c r="N49" i="290"/>
  <c r="O49" i="290" s="1"/>
  <c r="M97" i="280"/>
  <c r="M70" i="280" s="1"/>
  <c r="N51" i="290"/>
  <c r="O51" i="290" s="1"/>
  <c r="O97" i="280"/>
  <c r="O70" i="280" s="1"/>
  <c r="Q97" i="280"/>
  <c r="Q70" i="280" s="1"/>
  <c r="N53" i="290"/>
  <c r="O53" i="290" s="1"/>
  <c r="C23" i="300" l="1"/>
  <c r="D35" i="280"/>
  <c r="D49" i="280"/>
  <c r="D38" i="280"/>
  <c r="D36" i="280"/>
  <c r="D43" i="280"/>
  <c r="D39" i="280"/>
  <c r="D41" i="280"/>
  <c r="D47" i="280"/>
  <c r="D48" i="280"/>
  <c r="D44" i="280"/>
  <c r="D45" i="280"/>
  <c r="D46" i="280"/>
  <c r="D32" i="280"/>
  <c r="D40" i="280"/>
  <c r="D42" i="280"/>
  <c r="D37" i="280"/>
  <c r="D34" i="280"/>
  <c r="D33" i="280"/>
  <c r="F22" i="300"/>
  <c r="D51" i="280"/>
  <c r="C50" i="280"/>
  <c r="C22" i="300"/>
  <c r="D8" i="290"/>
  <c r="D28" i="280"/>
  <c r="D27" i="280"/>
  <c r="D25" i="280"/>
  <c r="D23" i="280"/>
  <c r="D26" i="280"/>
  <c r="J45" i="290"/>
  <c r="N37" i="290"/>
  <c r="O37" i="290" s="1"/>
  <c r="C7" i="290"/>
  <c r="I81" i="280"/>
  <c r="J81" i="280"/>
  <c r="R81" i="280"/>
  <c r="M81" i="280"/>
  <c r="P83" i="280"/>
  <c r="R89" i="280"/>
  <c r="I89" i="280"/>
  <c r="L89" i="280"/>
  <c r="Q83" i="280"/>
  <c r="P77" i="280"/>
  <c r="N83" i="280"/>
  <c r="J89" i="280"/>
  <c r="I83" i="280"/>
  <c r="O89" i="280"/>
  <c r="J83" i="280"/>
  <c r="N77" i="280"/>
  <c r="K83" i="280"/>
  <c r="N89" i="280"/>
  <c r="I77" i="280"/>
  <c r="K89" i="280"/>
  <c r="L83" i="280"/>
  <c r="P89" i="280"/>
  <c r="Q77" i="280"/>
  <c r="M83" i="280"/>
  <c r="K77" i="280"/>
  <c r="M89" i="280"/>
  <c r="R83" i="280"/>
  <c r="O77" i="280"/>
  <c r="J77" i="280"/>
  <c r="R77" i="280"/>
  <c r="O83" i="280"/>
  <c r="L77" i="280"/>
  <c r="Q89" i="280"/>
  <c r="M77" i="280"/>
  <c r="L81" i="280"/>
  <c r="J44" i="290"/>
  <c r="N36" i="290"/>
  <c r="O36" i="290" s="1"/>
  <c r="K81" i="280"/>
  <c r="N81" i="280"/>
  <c r="O81" i="280"/>
  <c r="C8" i="290"/>
  <c r="F8" i="290" s="1"/>
  <c r="F12" i="280" s="1"/>
  <c r="O12" i="299" s="1"/>
  <c r="P81" i="280"/>
  <c r="Q81" i="280"/>
  <c r="P76" i="280"/>
  <c r="N88" i="280"/>
  <c r="Q82" i="280"/>
  <c r="I88" i="280"/>
  <c r="K76" i="280"/>
  <c r="J88" i="280"/>
  <c r="L88" i="280"/>
  <c r="M82" i="280"/>
  <c r="R76" i="280"/>
  <c r="P82" i="280"/>
  <c r="L82" i="280"/>
  <c r="J82" i="280"/>
  <c r="K82" i="280"/>
  <c r="N82" i="280"/>
  <c r="I76" i="280"/>
  <c r="L76" i="280"/>
  <c r="N76" i="280"/>
  <c r="J76" i="280"/>
  <c r="M88" i="280"/>
  <c r="O76" i="280"/>
  <c r="Q88" i="280"/>
  <c r="I82" i="280"/>
  <c r="P88" i="280"/>
  <c r="K88" i="280"/>
  <c r="M76" i="280"/>
  <c r="O88" i="280"/>
  <c r="O82" i="280"/>
  <c r="R88" i="280"/>
  <c r="Q76" i="280"/>
  <c r="R82" i="280"/>
  <c r="C103" i="280"/>
  <c r="D103" i="280" s="1"/>
  <c r="C100" i="280"/>
  <c r="D100" i="280" s="1"/>
  <c r="C94" i="280"/>
  <c r="D94" i="280" s="1"/>
  <c r="C102" i="280"/>
  <c r="D102" i="280" s="1"/>
  <c r="C95" i="280"/>
  <c r="D95" i="280" s="1"/>
  <c r="C92" i="280"/>
  <c r="D92" i="280" s="1"/>
  <c r="C93" i="280"/>
  <c r="D93" i="280" s="1"/>
  <c r="C96" i="280"/>
  <c r="D96" i="280" s="1"/>
  <c r="C98" i="280"/>
  <c r="D98" i="280" s="1"/>
  <c r="F18" i="280" l="1"/>
  <c r="F9" i="280"/>
  <c r="F16" i="280"/>
  <c r="F19" i="280"/>
  <c r="F10" i="280"/>
  <c r="F14" i="280"/>
  <c r="F17" i="280"/>
  <c r="F11" i="280"/>
  <c r="O11" i="299" s="1"/>
  <c r="F15" i="280"/>
  <c r="F13" i="280"/>
  <c r="D50" i="280"/>
  <c r="D10" i="290" s="1"/>
  <c r="C9" i="290"/>
  <c r="C82" i="280"/>
  <c r="D82" i="280" s="1"/>
  <c r="C81" i="280"/>
  <c r="D81" i="280" s="1"/>
  <c r="D9" i="290"/>
  <c r="C79" i="280"/>
  <c r="D79" i="280" s="1"/>
  <c r="C80" i="280"/>
  <c r="D80" i="280" s="1"/>
  <c r="C77" i="280"/>
  <c r="D77" i="280" s="1"/>
  <c r="C84" i="280"/>
  <c r="D84" i="280" s="1"/>
  <c r="C59" i="280"/>
  <c r="D59" i="280" s="1"/>
  <c r="C56" i="280"/>
  <c r="D56" i="280" s="1"/>
  <c r="C67" i="280"/>
  <c r="D67" i="280" s="1"/>
  <c r="C78" i="280"/>
  <c r="D78" i="280" s="1"/>
  <c r="C57" i="280"/>
  <c r="D57" i="280" s="1"/>
  <c r="C71" i="280"/>
  <c r="D71" i="280" s="1"/>
  <c r="C72" i="280"/>
  <c r="D72" i="280" s="1"/>
  <c r="C83" i="280"/>
  <c r="D83" i="280" s="1"/>
  <c r="C60" i="280"/>
  <c r="D60" i="280" s="1"/>
  <c r="C54" i="280"/>
  <c r="D54" i="280" s="1"/>
  <c r="C62" i="280"/>
  <c r="D62" i="280" s="1"/>
  <c r="C58" i="280"/>
  <c r="D58" i="280" s="1"/>
  <c r="C61" i="280"/>
  <c r="D61" i="280" s="1"/>
  <c r="C66" i="280"/>
  <c r="D66" i="280" s="1"/>
  <c r="C63" i="280"/>
  <c r="D63" i="280" s="1"/>
  <c r="C85" i="280"/>
  <c r="D85" i="280" s="1"/>
  <c r="C68" i="280"/>
  <c r="D68" i="280" s="1"/>
  <c r="C74" i="280"/>
  <c r="D74" i="280" s="1"/>
  <c r="C65" i="280"/>
  <c r="D65" i="280" s="1"/>
  <c r="C55" i="280"/>
  <c r="D55" i="280" s="1"/>
  <c r="C70" i="280"/>
  <c r="D70" i="280" s="1"/>
  <c r="C76" i="280"/>
  <c r="D76" i="280" s="1"/>
  <c r="C73" i="280"/>
  <c r="D73" i="280" s="1"/>
  <c r="C69" i="280"/>
  <c r="D69" i="280" s="1"/>
  <c r="F9" i="290" l="1"/>
  <c r="C10" i="290"/>
  <c r="F10" i="290" s="1"/>
  <c r="O21" i="299"/>
  <c r="O19" i="299"/>
  <c r="O17" i="299"/>
  <c r="O15" i="299"/>
  <c r="O9" i="299"/>
  <c r="F20" i="280"/>
  <c r="O20" i="299" s="1"/>
  <c r="O18" i="299"/>
  <c r="O16" i="299"/>
  <c r="O14" i="299"/>
  <c r="O13" i="299"/>
  <c r="O10" i="299"/>
  <c r="C11" i="290"/>
  <c r="D11" i="290"/>
  <c r="F7" i="290" l="1"/>
  <c r="F8" i="280" s="1"/>
  <c r="O8" i="299" s="1"/>
  <c r="F11" i="290"/>
  <c r="F24" i="280"/>
  <c r="O24" i="299" s="1"/>
  <c r="F35" i="280"/>
  <c r="F29" i="280"/>
  <c r="O29" i="299" s="1"/>
  <c r="F51" i="280"/>
  <c r="F106" i="297" s="1"/>
  <c r="G106" i="297" s="1"/>
  <c r="I106" i="297" s="1"/>
  <c r="F36" i="280"/>
  <c r="F47" i="280"/>
  <c r="F46" i="280"/>
  <c r="F37" i="280"/>
  <c r="F33" i="280" l="1"/>
  <c r="F40" i="280"/>
  <c r="F44" i="280"/>
  <c r="F39" i="280"/>
  <c r="F49" i="280"/>
  <c r="F22" i="280"/>
  <c r="O22" i="299" s="1"/>
  <c r="F5" i="280"/>
  <c r="O5" i="299" s="1"/>
  <c r="F6" i="280"/>
  <c r="O6" i="299" s="1"/>
  <c r="F50" i="280"/>
  <c r="F34" i="280"/>
  <c r="F42" i="280"/>
  <c r="F32" i="280"/>
  <c r="F45" i="280"/>
  <c r="F48" i="280"/>
  <c r="F41" i="280"/>
  <c r="F43" i="280"/>
  <c r="F38" i="280"/>
  <c r="F26" i="280"/>
  <c r="O26" i="299" s="1"/>
  <c r="F28" i="280"/>
  <c r="O28" i="299" s="1"/>
  <c r="F4" i="280"/>
  <c r="O4" i="299" s="1"/>
  <c r="F7" i="280"/>
  <c r="O7" i="299" s="1"/>
  <c r="F27" i="280"/>
  <c r="O27" i="299" s="1"/>
  <c r="F25" i="280"/>
  <c r="O25" i="299" s="1"/>
  <c r="F30" i="280"/>
  <c r="F23" i="280"/>
  <c r="O23" i="299" s="1"/>
  <c r="O51" i="299"/>
  <c r="E13" i="297"/>
  <c r="E11" i="297"/>
  <c r="F11" i="297" s="1"/>
  <c r="E8" i="297"/>
  <c r="F8" i="297" s="1"/>
  <c r="E14" i="297"/>
  <c r="E10" i="297"/>
  <c r="F10" i="297" s="1"/>
  <c r="E15" i="297"/>
  <c r="F15" i="297" s="1"/>
  <c r="E9" i="297" l="1"/>
  <c r="F9" i="297" s="1"/>
  <c r="E12" i="297"/>
  <c r="F12" i="297" s="1"/>
  <c r="E32" i="297"/>
  <c r="E33" i="297" s="1"/>
  <c r="O30" i="299"/>
  <c r="F14" i="297"/>
  <c r="F13" i="297"/>
  <c r="F33" i="297" l="1"/>
  <c r="F32" i="297" l="1"/>
  <c r="F34" i="297" l="1"/>
  <c r="F90" i="280" l="1"/>
  <c r="O90" i="299" s="1"/>
  <c r="F74" i="280"/>
  <c r="O74" i="299" s="1"/>
  <c r="F58" i="280"/>
  <c r="O58" i="299" s="1"/>
  <c r="F97" i="280"/>
  <c r="O97" i="299" s="1"/>
  <c r="F81" i="280"/>
  <c r="O81" i="299" s="1"/>
  <c r="F65" i="280"/>
  <c r="O65" i="299" s="1"/>
  <c r="F104" i="280"/>
  <c r="O104" i="299" s="1"/>
  <c r="F88" i="280"/>
  <c r="O88" i="299" s="1"/>
  <c r="F72" i="280"/>
  <c r="O72" i="299" s="1"/>
  <c r="F56" i="280"/>
  <c r="O56" i="299" s="1"/>
  <c r="F95" i="280"/>
  <c r="O95" i="299" s="1"/>
  <c r="F79" i="280"/>
  <c r="O79" i="299" s="1"/>
  <c r="F63" i="280"/>
  <c r="O63" i="299" s="1"/>
  <c r="F102" i="280"/>
  <c r="O102" i="299" s="1"/>
  <c r="F86" i="280"/>
  <c r="O86" i="299" s="1"/>
  <c r="F70" i="280"/>
  <c r="O70" i="299" s="1"/>
  <c r="F54" i="280"/>
  <c r="O54" i="299" s="1"/>
  <c r="F93" i="280"/>
  <c r="O93" i="299" s="1"/>
  <c r="F77" i="280"/>
  <c r="O77" i="299" s="1"/>
  <c r="F61" i="280"/>
  <c r="O61" i="299" s="1"/>
  <c r="F100" i="280"/>
  <c r="O100" i="299" s="1"/>
  <c r="F84" i="280"/>
  <c r="O84" i="299" s="1"/>
  <c r="F68" i="280"/>
  <c r="O68" i="299" s="1"/>
  <c r="F52" i="280"/>
  <c r="O52" i="299" s="1"/>
  <c r="F91" i="280"/>
  <c r="O91" i="299" s="1"/>
  <c r="F75" i="280"/>
  <c r="O75" i="299" s="1"/>
  <c r="F59" i="280"/>
  <c r="O59" i="299" s="1"/>
  <c r="F98" i="280"/>
  <c r="O98" i="299" s="1"/>
  <c r="F82" i="280"/>
  <c r="O82" i="299" s="1"/>
  <c r="F66" i="280"/>
  <c r="O66" i="299" s="1"/>
  <c r="F105" i="280"/>
  <c r="O105" i="299" s="1"/>
  <c r="F89" i="280"/>
  <c r="O89" i="299" s="1"/>
  <c r="F73" i="280"/>
  <c r="O73" i="299" s="1"/>
  <c r="F57" i="280"/>
  <c r="O57" i="299" s="1"/>
  <c r="F96" i="280"/>
  <c r="O96" i="299" s="1"/>
  <c r="F80" i="280"/>
  <c r="O80" i="299" s="1"/>
  <c r="F64" i="280"/>
  <c r="O64" i="299" s="1"/>
  <c r="F103" i="280"/>
  <c r="O103" i="299" s="1"/>
  <c r="F87" i="280"/>
  <c r="O87" i="299" s="1"/>
  <c r="F71" i="280"/>
  <c r="O71" i="299" s="1"/>
  <c r="F55" i="280"/>
  <c r="O55" i="299" s="1"/>
  <c r="F94" i="280"/>
  <c r="O94" i="299" s="1"/>
  <c r="F78" i="280"/>
  <c r="O78" i="299" s="1"/>
  <c r="F62" i="280"/>
  <c r="O62" i="299" s="1"/>
  <c r="F101" i="280"/>
  <c r="O101" i="299" s="1"/>
  <c r="F85" i="280"/>
  <c r="O85" i="299" s="1"/>
  <c r="F69" i="280"/>
  <c r="O69" i="299" s="1"/>
  <c r="F53" i="280"/>
  <c r="O53" i="299" s="1"/>
  <c r="F92" i="280"/>
  <c r="O92" i="299" s="1"/>
  <c r="F76" i="280"/>
  <c r="O76" i="299" s="1"/>
  <c r="F60" i="280"/>
  <c r="O60" i="299" s="1"/>
  <c r="F99" i="280"/>
  <c r="O99" i="299" s="1"/>
  <c r="F83" i="280"/>
  <c r="O83" i="299" s="1"/>
  <c r="F67" i="280"/>
  <c r="O67" i="299" s="1"/>
  <c r="O49" i="299"/>
  <c r="O48" i="299" l="1"/>
  <c r="F31" i="280"/>
  <c r="O31" i="299" s="1"/>
  <c r="O50" i="299"/>
  <c r="O45" i="299" l="1"/>
  <c r="F128" i="297"/>
  <c r="G128" i="297" s="1"/>
  <c r="I128" i="297" s="1"/>
  <c r="I129" i="297" s="1"/>
  <c r="O42" i="299"/>
  <c r="F118" i="297"/>
  <c r="G118" i="297" s="1"/>
  <c r="I118" i="297" s="1"/>
  <c r="O38" i="299"/>
  <c r="F94" i="297"/>
  <c r="G94" i="297" s="1"/>
  <c r="I94" i="297" s="1"/>
  <c r="O33" i="299"/>
  <c r="F65" i="297"/>
  <c r="G65" i="297" s="1"/>
  <c r="I65" i="297" s="1"/>
  <c r="F121" i="297"/>
  <c r="G121" i="297" s="1"/>
  <c r="I121" i="297" s="1"/>
  <c r="O43" i="299"/>
  <c r="O41" i="299"/>
  <c r="F114" i="297"/>
  <c r="G114" i="297" s="1"/>
  <c r="I114" i="297" s="1"/>
  <c r="F60" i="297"/>
  <c r="G60" i="297" s="1"/>
  <c r="I60" i="297" s="1"/>
  <c r="O32" i="299"/>
  <c r="O39" i="299"/>
  <c r="F99" i="297"/>
  <c r="G99" i="297" s="1"/>
  <c r="I99" i="297" s="1"/>
  <c r="O46" i="299"/>
  <c r="F130" i="297"/>
  <c r="G130" i="297" s="1"/>
  <c r="I130" i="297" s="1"/>
  <c r="I131" i="297" s="1"/>
  <c r="O35" i="299"/>
  <c r="F75" i="297"/>
  <c r="G75" i="297" s="1"/>
  <c r="I75" i="297" s="1"/>
  <c r="O44" i="299"/>
  <c r="F125" i="297"/>
  <c r="G125" i="297" s="1"/>
  <c r="I125" i="297" s="1"/>
  <c r="O40" i="299"/>
  <c r="F108" i="297"/>
  <c r="G108" i="297" s="1"/>
  <c r="I108" i="297" s="1"/>
  <c r="O36" i="299"/>
  <c r="F78" i="297"/>
  <c r="G78" i="297" s="1"/>
  <c r="I78" i="297" s="1"/>
  <c r="O47" i="299"/>
  <c r="E137" i="297"/>
  <c r="F137" i="297" s="1"/>
  <c r="F70" i="297"/>
  <c r="G70" i="297" s="1"/>
  <c r="I70" i="297" s="1"/>
  <c r="O34" i="299"/>
  <c r="O37" i="299"/>
  <c r="F86" i="297"/>
  <c r="G86" i="297" s="1"/>
  <c r="I86" i="297" s="1"/>
  <c r="G131" i="297" l="1"/>
  <c r="E55" i="297"/>
  <c r="G129" i="297"/>
  <c r="F87" i="297"/>
  <c r="G87" i="297" s="1"/>
  <c r="I87" i="297" s="1"/>
  <c r="E138" i="297"/>
  <c r="F138" i="297" s="1"/>
  <c r="F79" i="297"/>
  <c r="G79" i="297" s="1"/>
  <c r="I79" i="297" s="1"/>
  <c r="F109" i="297"/>
  <c r="G109" i="297" s="1"/>
  <c r="I109" i="297" s="1"/>
  <c r="F126" i="297"/>
  <c r="G126" i="297" s="1"/>
  <c r="I126" i="297" s="1"/>
  <c r="I127" i="297" s="1"/>
  <c r="F76" i="297"/>
  <c r="G76" i="297" s="1"/>
  <c r="I76" i="297" s="1"/>
  <c r="I77" i="297" s="1"/>
  <c r="F100" i="297"/>
  <c r="F115" i="297"/>
  <c r="G115" i="297" s="1"/>
  <c r="I115" i="297" s="1"/>
  <c r="F66" i="297"/>
  <c r="G66" i="297" s="1"/>
  <c r="I66" i="297" s="1"/>
  <c r="F95" i="297"/>
  <c r="G95" i="297" s="1"/>
  <c r="I95" i="297" s="1"/>
  <c r="F119" i="297"/>
  <c r="G119" i="297" s="1"/>
  <c r="I119" i="297" s="1"/>
  <c r="I120" i="297" s="1"/>
  <c r="F71" i="297"/>
  <c r="G71" i="297" s="1"/>
  <c r="I71" i="297" s="1"/>
  <c r="F61" i="297"/>
  <c r="G61" i="297" s="1"/>
  <c r="I61" i="297" s="1"/>
  <c r="F122" i="297"/>
  <c r="G122" i="297" s="1"/>
  <c r="I122" i="297" s="1"/>
  <c r="E54" i="297"/>
  <c r="F101" i="297" l="1"/>
  <c r="G100" i="297"/>
  <c r="I100" i="297" s="1"/>
  <c r="G77" i="297"/>
  <c r="G120" i="297"/>
  <c r="G127" i="297"/>
  <c r="E44" i="297"/>
  <c r="F123" i="297"/>
  <c r="G123" i="297" s="1"/>
  <c r="I123" i="297" s="1"/>
  <c r="I124" i="297" s="1"/>
  <c r="E51" i="297"/>
  <c r="F96" i="297"/>
  <c r="G96" i="297" s="1"/>
  <c r="I96" i="297" s="1"/>
  <c r="I98" i="297" s="1"/>
  <c r="F67" i="297"/>
  <c r="G67" i="297" s="1"/>
  <c r="I67" i="297" s="1"/>
  <c r="E53" i="297"/>
  <c r="F110" i="297"/>
  <c r="G110" i="297" s="1"/>
  <c r="I110" i="297" s="1"/>
  <c r="F80" i="297"/>
  <c r="G80" i="297" s="1"/>
  <c r="I80" i="297" s="1"/>
  <c r="F62" i="297"/>
  <c r="G62" i="297" s="1"/>
  <c r="I62" i="297" s="1"/>
  <c r="F72" i="297"/>
  <c r="G72" i="297" s="1"/>
  <c r="I72" i="297" s="1"/>
  <c r="F116" i="297"/>
  <c r="G116" i="297" s="1"/>
  <c r="I116" i="297" s="1"/>
  <c r="I117" i="297" s="1"/>
  <c r="F88" i="297"/>
  <c r="G88" i="297" s="1"/>
  <c r="I88" i="297" s="1"/>
  <c r="F102" i="297" l="1"/>
  <c r="G101" i="297"/>
  <c r="I101" i="297" s="1"/>
  <c r="G117" i="297"/>
  <c r="G98" i="297"/>
  <c r="G124" i="297"/>
  <c r="E47" i="297"/>
  <c r="E52" i="297"/>
  <c r="F63" i="297"/>
  <c r="G63" i="297" s="1"/>
  <c r="I63" i="297" s="1"/>
  <c r="I64" i="297" s="1"/>
  <c r="E41" i="297" s="1"/>
  <c r="F89" i="297"/>
  <c r="G89" i="297" s="1"/>
  <c r="I89" i="297" s="1"/>
  <c r="F73" i="297"/>
  <c r="G73" i="297" s="1"/>
  <c r="I73" i="297" s="1"/>
  <c r="I74" i="297" s="1"/>
  <c r="F81" i="297"/>
  <c r="G81" i="297" s="1"/>
  <c r="I81" i="297" s="1"/>
  <c r="F111" i="297"/>
  <c r="G111" i="297" s="1"/>
  <c r="I111" i="297" s="1"/>
  <c r="F68" i="297"/>
  <c r="G68" i="297" s="1"/>
  <c r="I68" i="297" s="1"/>
  <c r="I69" i="297" s="1"/>
  <c r="E42" i="297" s="1"/>
  <c r="E50" i="297"/>
  <c r="F103" i="297" l="1"/>
  <c r="G103" i="297" s="1"/>
  <c r="I103" i="297" s="1"/>
  <c r="G102" i="297"/>
  <c r="I102" i="297" s="1"/>
  <c r="G69" i="297"/>
  <c r="G74" i="297"/>
  <c r="G64" i="297"/>
  <c r="F112" i="297"/>
  <c r="G112" i="297" s="1"/>
  <c r="I112" i="297" s="1"/>
  <c r="I113" i="297" s="1"/>
  <c r="F82" i="297"/>
  <c r="G82" i="297" s="1"/>
  <c r="I82" i="297" s="1"/>
  <c r="F90" i="297"/>
  <c r="G90" i="297" s="1"/>
  <c r="I90" i="297" s="1"/>
  <c r="E43" i="297"/>
  <c r="F104" i="297" l="1"/>
  <c r="G104" i="297" s="1"/>
  <c r="I104" i="297" s="1"/>
  <c r="G113" i="297"/>
  <c r="E49" i="297"/>
  <c r="F91" i="297"/>
  <c r="G91" i="297" s="1"/>
  <c r="I91" i="297" s="1"/>
  <c r="I93" i="297" s="1"/>
  <c r="F83" i="297"/>
  <c r="G83" i="297" s="1"/>
  <c r="I83" i="297" s="1"/>
  <c r="F105" i="297" l="1"/>
  <c r="G105" i="297" s="1"/>
  <c r="I105" i="297" s="1"/>
  <c r="I107" i="297" s="1"/>
  <c r="E48" i="297" s="1"/>
  <c r="G93" i="297"/>
  <c r="F84" i="297"/>
  <c r="G84" i="297" s="1"/>
  <c r="I84" i="297" s="1"/>
  <c r="I85" i="297" s="1"/>
  <c r="E46" i="297"/>
  <c r="G107" i="297" l="1"/>
  <c r="G85" i="297"/>
  <c r="E45" i="297"/>
</calcChain>
</file>

<file path=xl/comments1.xml><?xml version="1.0" encoding="utf-8"?>
<comments xmlns="http://schemas.openxmlformats.org/spreadsheetml/2006/main">
  <authors>
    <author>Cesar Bernabel</author>
    <author>Lenovo User</author>
    <author>SOPORTE TECNICO GART</author>
    <author>Cesar Bernabel Espinoza</author>
  </authors>
  <commentList>
    <comment ref="J15" authorId="0">
      <text>
        <r>
          <rPr>
            <b/>
            <sz val="12"/>
            <color indexed="81"/>
            <rFont val="Tahoma"/>
            <family val="2"/>
          </rPr>
          <t>http://www2.osinerg.gob.pe/PreciosReferencia/pdf/2009/octubre/RGE_31102009.pdf</t>
        </r>
      </text>
    </comment>
    <comment ref="L15" authorId="0">
      <text>
        <r>
          <rPr>
            <b/>
            <sz val="14"/>
            <color indexed="81"/>
            <rFont val="Tahoma"/>
            <family val="2"/>
          </rPr>
          <t>http://www.petroperu.com.pe/portalweb/UpLoad/UpLoaded/PDF/COMB-09-2009.pdf
El reporte de precios de petroperu indica "el precio del combustible utilizado para las generadores electricas se puede observar en la lista de combustibles del 15 de abril 2009"
Los precios del 15 de abril se encuentran en la direccion http://www.petroperu.com.pe/portalweb/UpLoad/UpLoaded/PDF/COMB-06-2009.pdf</t>
        </r>
      </text>
    </comment>
    <comment ref="C20" authorId="1">
      <text>
        <r>
          <rPr>
            <b/>
            <sz val="8"/>
            <color indexed="81"/>
            <rFont val="Tahoma"/>
            <family val="2"/>
          </rPr>
          <t>Lenovo User:</t>
        </r>
        <r>
          <rPr>
            <sz val="8"/>
            <color indexed="81"/>
            <rFont val="Tahoma"/>
            <family val="2"/>
          </rPr>
          <t xml:space="preserve">
Se inserta el FA del PNG</t>
        </r>
      </text>
    </comment>
    <comment ref="P32" authorId="2">
      <text>
        <r>
          <rPr>
            <b/>
            <sz val="8"/>
            <color indexed="81"/>
            <rFont val="Tahoma"/>
            <family val="2"/>
          </rPr>
          <t>SOPORTE TECNICO GART:</t>
        </r>
        <r>
          <rPr>
            <sz val="8"/>
            <color indexed="81"/>
            <rFont val="Tahoma"/>
            <family val="2"/>
          </rPr>
          <t xml:space="preserve">
modificado por resolucion 279 
2009</t>
        </r>
      </text>
    </comment>
    <comment ref="I57" authorId="2">
      <text>
        <r>
          <rPr>
            <b/>
            <sz val="8"/>
            <color indexed="81"/>
            <rFont val="Tahoma"/>
            <family val="2"/>
          </rPr>
          <t>SOPORTE TECNICO GART:</t>
        </r>
        <r>
          <rPr>
            <sz val="8"/>
            <color indexed="81"/>
            <rFont val="Tahoma"/>
            <family val="2"/>
          </rPr>
          <t xml:space="preserve">
modificado por res. 234-2010</t>
        </r>
      </text>
    </comment>
    <comment ref="AO58" authorId="3">
      <text>
        <r>
          <rPr>
            <sz val="14"/>
            <color indexed="81"/>
            <rFont val="Tahoma"/>
            <family val="2"/>
          </rPr>
          <t xml:space="preserve">Partida 74130000.00
</t>
        </r>
      </text>
    </comment>
    <comment ref="AP58" authorId="3">
      <text>
        <r>
          <rPr>
            <b/>
            <sz val="12"/>
            <color indexed="81"/>
            <rFont val="Tahoma"/>
            <family val="2"/>
          </rPr>
          <t>Partida 7614900000</t>
        </r>
      </text>
    </comment>
  </commentList>
</comments>
</file>

<file path=xl/comments2.xml><?xml version="1.0" encoding="utf-8"?>
<comments xmlns="http://schemas.openxmlformats.org/spreadsheetml/2006/main">
  <authors>
    <author>Lenovo User</author>
  </authors>
  <commentList>
    <comment ref="E92" authorId="0">
      <text>
        <r>
          <rPr>
            <b/>
            <sz val="8"/>
            <color indexed="81"/>
            <rFont val="Tahoma"/>
            <family val="2"/>
          </rPr>
          <t>Lenovo User:</t>
        </r>
        <r>
          <rPr>
            <sz val="8"/>
            <color indexed="81"/>
            <rFont val="Tahoma"/>
            <family val="2"/>
          </rPr>
          <t xml:space="preserve">
Vigente a partir del 1 de mayo del 2012 mediante Res. 079-2012-OS/CD</t>
        </r>
      </text>
    </comment>
    <comment ref="F92" authorId="0">
      <text>
        <r>
          <rPr>
            <b/>
            <sz val="8"/>
            <color indexed="81"/>
            <rFont val="Tahoma"/>
            <family val="2"/>
          </rPr>
          <t>Lenovo User:</t>
        </r>
        <r>
          <rPr>
            <sz val="8"/>
            <color indexed="81"/>
            <rFont val="Tahoma"/>
            <family val="2"/>
          </rPr>
          <t xml:space="preserve">
Factor determinado conforme a lo dispuesto por la norma “Procedimiento de Aplicación del Artículo 4° del Decreto Supremo N° 048-2008-EM” aprobada por Resolución OSINERGMIN N° 288-2009-OS/CD</t>
        </r>
      </text>
    </comment>
    <comment ref="E97" authorId="0">
      <text>
        <r>
          <rPr>
            <b/>
            <sz val="8"/>
            <color indexed="81"/>
            <rFont val="Tahoma"/>
            <family val="2"/>
          </rPr>
          <t>Lenovo User:</t>
        </r>
        <r>
          <rPr>
            <sz val="8"/>
            <color indexed="81"/>
            <rFont val="Tahoma"/>
            <family val="2"/>
          </rPr>
          <t xml:space="preserve">
Vigente a partir del 1 de mayo del 2012 mediante Res. 079-2012-OS/CD</t>
        </r>
      </text>
    </comment>
    <comment ref="F97" authorId="0">
      <text>
        <r>
          <rPr>
            <b/>
            <sz val="8"/>
            <color indexed="81"/>
            <rFont val="Tahoma"/>
            <family val="2"/>
          </rPr>
          <t>Lenovo User:</t>
        </r>
        <r>
          <rPr>
            <sz val="8"/>
            <color indexed="81"/>
            <rFont val="Tahoma"/>
            <family val="2"/>
          </rPr>
          <t xml:space="preserve">
Factor determinado conforme a lo dispuesto por la norma “Procedimiento de Aplicación del Artículo 4° del Decreto Supremo N° 048-2008-EM” aprobada por Resolución OSINERGMIN N° 288-2009-OS/CD</t>
        </r>
      </text>
    </comment>
  </commentList>
</comments>
</file>

<file path=xl/comments3.xml><?xml version="1.0" encoding="utf-8"?>
<comments xmlns="http://schemas.openxmlformats.org/spreadsheetml/2006/main">
  <authors>
    <author>CESAR</author>
  </authors>
  <commentList>
    <comment ref="G5" authorId="0">
      <text>
        <r>
          <rPr>
            <b/>
            <sz val="8"/>
            <color indexed="81"/>
            <rFont val="Tahoma"/>
            <family val="2"/>
          </rPr>
          <t>Consultar en el diario el Peruano del 1er dia de cada mes</t>
        </r>
      </text>
    </comment>
  </commentList>
</comments>
</file>

<file path=xl/comments4.xml><?xml version="1.0" encoding="utf-8"?>
<comments xmlns="http://schemas.openxmlformats.org/spreadsheetml/2006/main">
  <authors>
    <author>Cesar Bernabel Espinoza</author>
    <author>cbernabel</author>
    <author>CESAR</author>
  </authors>
  <commentList>
    <comment ref="M5" authorId="0">
      <text>
        <r>
          <rPr>
            <b/>
            <sz val="8"/>
            <color indexed="81"/>
            <rFont val="Tahoma"/>
            <family val="2"/>
          </rPr>
          <t>Fuente: http://www.aduanet.gob.pe/aduanas/informai/tra_ar.htm</t>
        </r>
        <r>
          <rPr>
            <sz val="8"/>
            <color indexed="81"/>
            <rFont val="Tahoma"/>
            <family val="2"/>
          </rPr>
          <t xml:space="preserve">
</t>
        </r>
      </text>
    </comment>
    <comment ref="M10" authorId="1">
      <text>
        <r>
          <rPr>
            <b/>
            <sz val="8"/>
            <color indexed="81"/>
            <rFont val="Tahoma"/>
            <family val="2"/>
          </rPr>
          <t>Modificado por Decreto Supremo N° 279-2010-EF</t>
        </r>
        <r>
          <rPr>
            <sz val="8"/>
            <color indexed="81"/>
            <rFont val="Tahoma"/>
            <family val="2"/>
          </rPr>
          <t xml:space="preserve">
</t>
        </r>
      </text>
    </comment>
    <comment ref="C68" authorId="2">
      <text>
        <r>
          <rPr>
            <b/>
            <sz val="9"/>
            <color indexed="81"/>
            <rFont val="Tahoma"/>
            <family val="2"/>
          </rPr>
          <t>Modificado por Decreto Supremo N° 279-2010-EF:
para las tarifas de enero 2011 era 9%</t>
        </r>
      </text>
    </comment>
    <comment ref="D68" authorId="2">
      <text>
        <r>
          <rPr>
            <b/>
            <sz val="9"/>
            <color indexed="81"/>
            <rFont val="Tahoma"/>
            <family val="2"/>
          </rPr>
          <t>Modificado por Decreto Supremo N° 279-2010-EF:
para las tarifas de enero 2011 era 9%</t>
        </r>
      </text>
    </comment>
  </commentList>
</comments>
</file>

<file path=xl/sharedStrings.xml><?xml version="1.0" encoding="utf-8"?>
<sst xmlns="http://schemas.openxmlformats.org/spreadsheetml/2006/main" count="1341" uniqueCount="591">
  <si>
    <t>IPM</t>
  </si>
  <si>
    <t>Valores Base</t>
  </si>
  <si>
    <t>a</t>
  </si>
  <si>
    <t>b</t>
  </si>
  <si>
    <t>Valores Actuales</t>
  </si>
  <si>
    <t>Sistema</t>
  </si>
  <si>
    <t>l</t>
  </si>
  <si>
    <t>m</t>
  </si>
  <si>
    <t>Variación</t>
  </si>
  <si>
    <t>Descripción</t>
  </si>
  <si>
    <t>Fecha</t>
  </si>
  <si>
    <t>TC (S/./US$)</t>
  </si>
  <si>
    <t>Edelnor</t>
  </si>
  <si>
    <t>Seal</t>
  </si>
  <si>
    <t>Electrocentro</t>
  </si>
  <si>
    <t>VARIABLES</t>
  </si>
  <si>
    <t>FPMtp</t>
  </si>
  <si>
    <t>FTCtp</t>
  </si>
  <si>
    <t>Transmision Secundaria</t>
  </si>
  <si>
    <t>FPMts</t>
  </si>
  <si>
    <t>FTCts</t>
  </si>
  <si>
    <t>TRANSMISIÓN SECUNDARIA</t>
  </si>
  <si>
    <t>Pcu (ctv. US$/lb)</t>
  </si>
  <si>
    <t xml:space="preserve">Pal </t>
  </si>
  <si>
    <t>Transmisión Principal</t>
  </si>
  <si>
    <t>n</t>
  </si>
  <si>
    <t>o</t>
  </si>
  <si>
    <t>SPT de REP</t>
  </si>
  <si>
    <t>SPT de Eteselva</t>
  </si>
  <si>
    <t>SPT de Antamina</t>
  </si>
  <si>
    <t>SPT de San Gabán</t>
  </si>
  <si>
    <t>1. POTENCIA (FAPPM)</t>
  </si>
  <si>
    <t>2. ENERGÍA (FAPEM)</t>
  </si>
  <si>
    <t>SEIN</t>
  </si>
  <si>
    <t>Adinelsa</t>
  </si>
  <si>
    <t>Chavimochic</t>
  </si>
  <si>
    <t>Electro Oriente</t>
  </si>
  <si>
    <t>Electro Sur Este</t>
  </si>
  <si>
    <t>Electro Ucayali</t>
  </si>
  <si>
    <t>Electronorte</t>
  </si>
  <si>
    <t>Hidrandina</t>
  </si>
  <si>
    <t xml:space="preserve">           Sistema Eléctrico Interconectado Nacional (SEIN)</t>
  </si>
  <si>
    <t>1. VALOR AGREGADO DE DISTRIBUCIÓN EN MT (FAVADMT)</t>
  </si>
  <si>
    <t xml:space="preserve">           a) Sector 1</t>
  </si>
  <si>
    <t xml:space="preserve">           b) Sector 2</t>
  </si>
  <si>
    <t xml:space="preserve">           c) Sector 3</t>
  </si>
  <si>
    <t xml:space="preserve">           d) Sector 4</t>
  </si>
  <si>
    <t xml:space="preserve">           e) Sector 5</t>
  </si>
  <si>
    <t xml:space="preserve">           f) Sector Especial</t>
  </si>
  <si>
    <t>2. VALOR AGREGADO DE DISTRIBUCIÓN EN BT (FAVADBT)</t>
  </si>
  <si>
    <t>4. ENERGÍA REACTIVA (FACER)</t>
  </si>
  <si>
    <t>Produccion en el SEIN</t>
  </si>
  <si>
    <t>FPMg</t>
  </si>
  <si>
    <t>FTCg</t>
  </si>
  <si>
    <t>FPGN</t>
  </si>
  <si>
    <t>FCB</t>
  </si>
  <si>
    <t>FD2SEIN</t>
  </si>
  <si>
    <t>FR6SEIN</t>
  </si>
  <si>
    <t>Produccion en Aislados</t>
  </si>
  <si>
    <t>FD2G1</t>
  </si>
  <si>
    <t>FD2G2</t>
  </si>
  <si>
    <t>FR6G2</t>
  </si>
  <si>
    <t>FD2G4</t>
  </si>
  <si>
    <t>PGN (S/./MMBtu)</t>
  </si>
  <si>
    <t>FOBCB (US$/tn)</t>
  </si>
  <si>
    <t>Valores Base al</t>
  </si>
  <si>
    <t>Punto de venta</t>
  </si>
  <si>
    <t>Bio D2 (S/./gl)</t>
  </si>
  <si>
    <t>R6 (S/./gl)</t>
  </si>
  <si>
    <t>PCBo (US$/Ton)</t>
  </si>
  <si>
    <t>ISC_Bio D2(S/./Galón)</t>
  </si>
  <si>
    <t>ISC_R6 (S/./Galón)</t>
  </si>
  <si>
    <t>Lima (Callao)</t>
  </si>
  <si>
    <t>Electro Oriente, Sersa</t>
  </si>
  <si>
    <t>Iquitos</t>
  </si>
  <si>
    <t>Electro Sur Medio, Hidrandina, Seal</t>
  </si>
  <si>
    <t>Callao</t>
  </si>
  <si>
    <t>Cusco</t>
  </si>
  <si>
    <t>Los Menores</t>
  </si>
  <si>
    <t>ISC</t>
  </si>
  <si>
    <t xml:space="preserve">Valores Actuales </t>
  </si>
  <si>
    <t>D2 (S/./gl)</t>
  </si>
  <si>
    <t>ISC_D2 (S/./Galón)</t>
  </si>
  <si>
    <t>G1</t>
  </si>
  <si>
    <t>G2</t>
  </si>
  <si>
    <t>G4</t>
  </si>
  <si>
    <t>d</t>
  </si>
  <si>
    <t>e</t>
  </si>
  <si>
    <t>f</t>
  </si>
  <si>
    <t>g</t>
  </si>
  <si>
    <t>s</t>
  </si>
  <si>
    <t>cb</t>
  </si>
  <si>
    <t>IPCu (ctv.US$/lb)</t>
  </si>
  <si>
    <t>IPAl (US$/tn)</t>
  </si>
  <si>
    <t>IPM / IPM0</t>
  </si>
  <si>
    <t>TC / TC0</t>
  </si>
  <si>
    <t>IPCu / IPCu0</t>
  </si>
  <si>
    <t>IPAl / IPAl0</t>
  </si>
  <si>
    <t>Cargo Comercial del Servicio Prepago (Resolución N° 442-2006-OS/CD)</t>
  </si>
  <si>
    <t>AMT</t>
  </si>
  <si>
    <t>BMT</t>
  </si>
  <si>
    <t>CMT</t>
  </si>
  <si>
    <t>DMT</t>
  </si>
  <si>
    <t>ABT</t>
  </si>
  <si>
    <t>BBT</t>
  </si>
  <si>
    <t>CBT</t>
  </si>
  <si>
    <t>DBT</t>
  </si>
  <si>
    <t>D / D0 Cubre</t>
  </si>
  <si>
    <t>D / D0 Aluminio</t>
  </si>
  <si>
    <t>Cobre</t>
  </si>
  <si>
    <t>Aluminio</t>
  </si>
  <si>
    <t>Tasa de Arancel</t>
  </si>
  <si>
    <t>Variación (%)</t>
  </si>
  <si>
    <t>Precios de referencia OSINERGMIN</t>
  </si>
  <si>
    <t>PPVn - Lista Petroperú</t>
  </si>
  <si>
    <t>Mes</t>
  </si>
  <si>
    <t>IPCu</t>
  </si>
  <si>
    <t>PRICE (US$/tn)</t>
  </si>
  <si>
    <t>Sistema de Transmisión</t>
  </si>
  <si>
    <t>Base</t>
  </si>
  <si>
    <t>FAPCSPT</t>
  </si>
  <si>
    <t>Actualizado</t>
  </si>
  <si>
    <t>SPT de Redesur</t>
  </si>
  <si>
    <t>SPT de Transmantaro</t>
  </si>
  <si>
    <t>SPT de ISA</t>
  </si>
  <si>
    <t>Sector 1</t>
  </si>
  <si>
    <t>Sector 2</t>
  </si>
  <si>
    <t>Sector 3</t>
  </si>
  <si>
    <t>Sector 4</t>
  </si>
  <si>
    <t>Sector 5</t>
  </si>
  <si>
    <t>Sector Especial</t>
  </si>
  <si>
    <t>8471.30.00.00</t>
  </si>
  <si>
    <t>8517.11.00.00</t>
  </si>
  <si>
    <t>8535.30.00.00</t>
  </si>
  <si>
    <t>8539.32.00.00</t>
  </si>
  <si>
    <t>9028.30.10.00</t>
  </si>
  <si>
    <t>Codigo</t>
  </si>
  <si>
    <t>Área de Demanda</t>
  </si>
  <si>
    <t>c</t>
  </si>
  <si>
    <t>Titular</t>
  </si>
  <si>
    <t>Instalaciones</t>
  </si>
  <si>
    <t>REDESUR</t>
  </si>
  <si>
    <t>SST Tacna - Transf. 220/66/10 kV; 50 MVA</t>
  </si>
  <si>
    <t>ISA-PERÚ</t>
  </si>
  <si>
    <t>SST  Aguaytía – Pucallpa, S.E. Aguaytía 220/60/10kV, S.E. Pucallpa 138/60/10kV, Reactor 8MVAR</t>
  </si>
  <si>
    <t>Instalac.BOOT</t>
  </si>
  <si>
    <t>EDEGEL</t>
  </si>
  <si>
    <t>CONENHUA</t>
  </si>
  <si>
    <t>SST Celda de Transformación 220 kV - S.E. Cajamarquilla</t>
  </si>
  <si>
    <t>SST LT Trujillo Norte - Cajamarca Norte 60 kV, Transformador 220/60/10 kV S.E. Cajamarca Norte</t>
  </si>
  <si>
    <t>Otras Instalaciones- Edegel</t>
  </si>
  <si>
    <t>Otras Instalaciones- Conenhua</t>
  </si>
  <si>
    <t xml:space="preserve"> (Resolución OSINERGMIN N° 184-2009-OS/CD)</t>
  </si>
  <si>
    <t>Cuadro 4.2 FORMULAS DE ACTUALIZACION</t>
  </si>
  <si>
    <t>Pco (ctv. US$/lb)</t>
  </si>
  <si>
    <t>Cuadro 5.5.- FORMULAS DE ACTUALIZACION DE LOS SST DE EDEGEL Y CONENHUA</t>
  </si>
  <si>
    <t>Cuadro 5.3.- FORMULAS DE ACTUALIZACION DE LOS SST DE ISA Y REDESUR (BOOT)</t>
  </si>
  <si>
    <t>C.1 DISTRIBUCIÓN - VAD Y CARGOS FIJOS (Resolución OSINERG N° 182-2009-OS/CD)</t>
  </si>
  <si>
    <t>B. Actualización de Peajes por Áreas de Demanda (Resolución OSINERG N° 184-2009-OS/CD)</t>
  </si>
  <si>
    <t>Instalaciones BOOT - Redesur</t>
  </si>
  <si>
    <t>Instalaciones BOOT - ISA Peru</t>
  </si>
  <si>
    <t>FPALtp</t>
  </si>
  <si>
    <t>FPCUtp</t>
  </si>
  <si>
    <t>FPCUts</t>
  </si>
  <si>
    <t>FPALts</t>
  </si>
  <si>
    <t>Área de Demanda 1</t>
  </si>
  <si>
    <t>Área de Demanda 2</t>
  </si>
  <si>
    <t>Área de Demanda 3</t>
  </si>
  <si>
    <t>Área de Demanda 4</t>
  </si>
  <si>
    <t>Área de Demanda 5</t>
  </si>
  <si>
    <t>Área de Demanda 6</t>
  </si>
  <si>
    <t>Área de Demanda 7</t>
  </si>
  <si>
    <t>Área de Demanda 8</t>
  </si>
  <si>
    <t>Área de Demanda 9</t>
  </si>
  <si>
    <t>Área de Demanda 10</t>
  </si>
  <si>
    <t>Área de Demanda 11</t>
  </si>
  <si>
    <t>Área de Demanda 12</t>
  </si>
  <si>
    <t>Área de Demanda 13</t>
  </si>
  <si>
    <t>Área de Demanda 14</t>
  </si>
  <si>
    <t>Área de Demanda 15</t>
  </si>
  <si>
    <t>2. VALOR AGREGADO DE DISTRIBUCIÓN EN SUBESTACIONES MT/BT (FASED)</t>
  </si>
  <si>
    <t>DISTRIBUCIÓN (Resoluciones OSINERG N° 181-2009-OS/CD )</t>
  </si>
  <si>
    <t>SER 100% Estado Prepago</t>
  </si>
  <si>
    <t>SER 100% Estado Convencional</t>
  </si>
  <si>
    <t>SER 100% Empresa Prepago</t>
  </si>
  <si>
    <t>ASED</t>
  </si>
  <si>
    <t>BSED</t>
  </si>
  <si>
    <t>CSED</t>
  </si>
  <si>
    <t>PARTIDA</t>
  </si>
  <si>
    <t>8504.21.90.00</t>
  </si>
  <si>
    <t>8704.21.10.10</t>
  </si>
  <si>
    <t>TA</t>
  </si>
  <si>
    <t>TABMT</t>
  </si>
  <si>
    <t>TABBT</t>
  </si>
  <si>
    <t>TABSED</t>
  </si>
  <si>
    <t>Convencional</t>
  </si>
  <si>
    <t>SER</t>
  </si>
  <si>
    <t>100% Estado</t>
  </si>
  <si>
    <t>Prepago</t>
  </si>
  <si>
    <t>100% Empresa</t>
  </si>
  <si>
    <t xml:space="preserve">           g) VAD SER 100 Estado Prepago</t>
  </si>
  <si>
    <t xml:space="preserve">           h) VAD SER 100 Estado Convencional</t>
  </si>
  <si>
    <t xml:space="preserve">           i) VAD SER 100 Empresa Prepago</t>
  </si>
  <si>
    <t xml:space="preserve">           j) VAD SER 100 Empresa Convencional</t>
  </si>
  <si>
    <t>1+TA</t>
  </si>
  <si>
    <t>FTC x FTA, MT</t>
  </si>
  <si>
    <t>FTC x FTA, BT</t>
  </si>
  <si>
    <t>FTC x FTA, SED</t>
  </si>
  <si>
    <t>DSED</t>
  </si>
  <si>
    <t xml:space="preserve">3. CARGOS FIJOS </t>
  </si>
  <si>
    <t>DISTRIBUCIÓN (Resoluciones OSINERGMIN N° 181-2009-OS/CD )</t>
  </si>
  <si>
    <t>G3</t>
  </si>
  <si>
    <t>FD2G3</t>
  </si>
  <si>
    <t>Actividad</t>
  </si>
  <si>
    <t>Límite</t>
  </si>
  <si>
    <t>Regulada</t>
  </si>
  <si>
    <t>Inferior</t>
  </si>
  <si>
    <t>Superior</t>
  </si>
  <si>
    <t>Generación SEIN</t>
  </si>
  <si>
    <t>Transmisión Secundaria</t>
  </si>
  <si>
    <t>Distribución</t>
  </si>
  <si>
    <t>Precio a Nivel Generacion</t>
  </si>
  <si>
    <t>Resolucion Base</t>
  </si>
  <si>
    <t xml:space="preserve">  </t>
  </si>
  <si>
    <t xml:space="preserve"> SPT de REP  </t>
  </si>
  <si>
    <t xml:space="preserve"> SPT de Eteselva  </t>
  </si>
  <si>
    <t xml:space="preserve"> SPT de Antamina  </t>
  </si>
  <si>
    <t xml:space="preserve"> SPT de San Gabán  </t>
  </si>
  <si>
    <t xml:space="preserve"> SPT de Redesur  </t>
  </si>
  <si>
    <t xml:space="preserve"> SPT de Transmantaro  </t>
  </si>
  <si>
    <t xml:space="preserve"> SPT de ISA  </t>
  </si>
  <si>
    <t xml:space="preserve"> Cargo por Garantía  </t>
  </si>
  <si>
    <t>IPAl</t>
  </si>
  <si>
    <t>COBRE</t>
  </si>
  <si>
    <t>Promedio === &gt;</t>
  </si>
  <si>
    <t>ALUMINIO</t>
  </si>
  <si>
    <t>NRO</t>
  </si>
  <si>
    <t>AÑO</t>
  </si>
  <si>
    <t>MES</t>
  </si>
  <si>
    <t>DÍA</t>
  </si>
  <si>
    <t>Nro</t>
  </si>
  <si>
    <t>Valores a Utilizar en la Hoja de Calculo</t>
  </si>
  <si>
    <t>PEAJE DE CONEXIÓN AL SISTEMA PRINCIPAL DE TRANSMISIÓN</t>
  </si>
  <si>
    <t>Cogeneración Paramonga</t>
  </si>
  <si>
    <t>C.H. Poechos 2</t>
  </si>
  <si>
    <t>C.H. Carhuaquero IV</t>
  </si>
  <si>
    <t>C.H. Caña Brava</t>
  </si>
  <si>
    <t>C.H. La Joya</t>
  </si>
  <si>
    <t>Usuarios Regulados</t>
  </si>
  <si>
    <t>A. GENERACIÓN - TARIFAS EN BARRA (Resolución OSINERGMIN N° 079-2010-OS/CD)</t>
  </si>
  <si>
    <t xml:space="preserve"> US$/lb</t>
  </si>
  <si>
    <t>C.H. Roncador</t>
  </si>
  <si>
    <t>PEAJE TOTAL ACUMULADO EN MT POR ÁREA DE DEMANDA (ctm. S/./kWh)</t>
  </si>
  <si>
    <t>Área Demanda</t>
  </si>
  <si>
    <t>FA</t>
  </si>
  <si>
    <t>DISTRIBUIDORAS</t>
  </si>
  <si>
    <t>GENERADORAS</t>
  </si>
  <si>
    <t>ADIL, ELNO</t>
  </si>
  <si>
    <t>ELP, REP</t>
  </si>
  <si>
    <t>ADIL, ELN</t>
  </si>
  <si>
    <t>REP, DEPO</t>
  </si>
  <si>
    <t>CHAV, ELNM</t>
  </si>
  <si>
    <t>ETEN, REP</t>
  </si>
  <si>
    <t>ELOR</t>
  </si>
  <si>
    <t>GSMA</t>
  </si>
  <si>
    <t>ADIL, ELC, ELP</t>
  </si>
  <si>
    <t>REP, CAND, CONE, ELAN</t>
  </si>
  <si>
    <t>ADIL, EDLN, ELNM</t>
  </si>
  <si>
    <t xml:space="preserve">REP, CAHU </t>
  </si>
  <si>
    <t>EDCA, LDS</t>
  </si>
  <si>
    <t>REP</t>
  </si>
  <si>
    <t>ADIL, COEL, ELSM, SEAL</t>
  </si>
  <si>
    <t>ISA, REP</t>
  </si>
  <si>
    <t>ELS, SEAL</t>
  </si>
  <si>
    <t>CONE, EGAS, REP</t>
  </si>
  <si>
    <t>ELSE</t>
  </si>
  <si>
    <t>EGEM, REP</t>
  </si>
  <si>
    <t>ELPU</t>
  </si>
  <si>
    <t>ELS</t>
  </si>
  <si>
    <t>ENER, SOUT</t>
  </si>
  <si>
    <t>EGES</t>
  </si>
  <si>
    <t>ELUC</t>
  </si>
  <si>
    <t>Área de</t>
  </si>
  <si>
    <t>Acumulado en MT</t>
  </si>
  <si>
    <t>Factor</t>
  </si>
  <si>
    <t>Acumulado MT</t>
  </si>
  <si>
    <t>Demanda</t>
  </si>
  <si>
    <t>Ctm. S/./kWh</t>
  </si>
  <si>
    <t>de Actualización</t>
  </si>
  <si>
    <t>ADINELSA</t>
  </si>
  <si>
    <t/>
  </si>
  <si>
    <t>ELECTRONOROESTE</t>
  </si>
  <si>
    <t>ELECTROPERÚ</t>
  </si>
  <si>
    <t>TOTAL ÁREA</t>
  </si>
  <si>
    <t>DEPOLTI</t>
  </si>
  <si>
    <t>ELECTRONORTE</t>
  </si>
  <si>
    <t>CHAVIMOCHIC</t>
  </si>
  <si>
    <t>ETENORTE</t>
  </si>
  <si>
    <t>HIDRANDINA</t>
  </si>
  <si>
    <t>ELECTRO ORIENTE</t>
  </si>
  <si>
    <t>GOB. REG. SAN MARTIN</t>
  </si>
  <si>
    <t>CEMENTO ANDINO</t>
  </si>
  <si>
    <t>ELECTROANDES</t>
  </si>
  <si>
    <t>ELECTROCENTRO</t>
  </si>
  <si>
    <t>CAHUA</t>
  </si>
  <si>
    <t>EDELNOR</t>
  </si>
  <si>
    <t>REP_AdicRAG</t>
  </si>
  <si>
    <t>EDECAÑETE</t>
  </si>
  <si>
    <t>LUZ DEL SUR</t>
  </si>
  <si>
    <t>COELVISAC</t>
  </si>
  <si>
    <t>ELECTRO SUR MEDIO</t>
  </si>
  <si>
    <t>SEAL</t>
  </si>
  <si>
    <t>EGASA</t>
  </si>
  <si>
    <t>ELECTROSUR</t>
  </si>
  <si>
    <t>EGEMSA</t>
  </si>
  <si>
    <t>ELECTRO SUR ESTE</t>
  </si>
  <si>
    <t>ELECTRO PUNO</t>
  </si>
  <si>
    <t>ENERSUR</t>
  </si>
  <si>
    <t>SOUTHERN PERÚ</t>
  </si>
  <si>
    <t>EGESUR</t>
  </si>
  <si>
    <t>ELECTRO UCAYALI</t>
  </si>
  <si>
    <t>PEAJE TOTAL POR ÁREA DE DEMANDA (CPSEE  - ctm. S/./kW.h)</t>
  </si>
  <si>
    <t>Titular de Transmisión/Barra-Tensión/Sistemas Eléctricos[1]/Instalaciones</t>
  </si>
  <si>
    <t xml:space="preserve">Anexo 6 (Factores de Expansión de Pérdidas Medias Media Tension) </t>
  </si>
  <si>
    <t>Resolución OSINERGMIN Nº 184-2009-OS/CD modificado por R.279-2009</t>
  </si>
  <si>
    <t>Factores aplicables para compras en  AT (/1)</t>
  </si>
  <si>
    <t>FPMdP</t>
  </si>
  <si>
    <t>FPMdE</t>
  </si>
  <si>
    <t>(/1) Referencia: Ultimo párrafo, Artículo 43 y numeral 19.5 de la Resolución OSINERGMIN 023-2008 OS/CD</t>
  </si>
  <si>
    <t xml:space="preserve"> a de Demanda  </t>
  </si>
  <si>
    <t xml:space="preserve"> Acumulado en MAT  </t>
  </si>
  <si>
    <t xml:space="preserve"> Acumulado en AT  </t>
  </si>
  <si>
    <t xml:space="preserve"> Acumulado en MT  </t>
  </si>
  <si>
    <t xml:space="preserve"> </t>
  </si>
  <si>
    <t>Diesel 2+ISC (S/./gl) - Callao</t>
  </si>
  <si>
    <t>Residual+ISC (S/./gl.) - Callao</t>
  </si>
  <si>
    <t>Diesel 2+ISC (S/./gl) - El Milagro</t>
  </si>
  <si>
    <t>Diesel 2+ISC (S/./gl) - Iquitos</t>
  </si>
  <si>
    <t>Residual+ISC (S/./gl.) - Iquitos</t>
  </si>
  <si>
    <t>Diesel 2+ISC (S/./gl) - Cusco</t>
  </si>
  <si>
    <t>TA Cobre</t>
  </si>
  <si>
    <t>TA Aluminio</t>
  </si>
  <si>
    <t>IPCu - Tarifas</t>
  </si>
  <si>
    <t>Factores Resolución 181-2009 OS/CD y 234-2010 OS/CD</t>
  </si>
  <si>
    <t>Tasa Arancelaria (TA) para el rubro de Productos Importados del Mes</t>
  </si>
  <si>
    <t>Tasa Arancelaria (TA) para el rubro de Productos Importados Inicial (Resolucion OSINERGMIN N° 181-2009-OS/CD Y 234-2010 OS/CD)</t>
  </si>
  <si>
    <t>Variable</t>
  </si>
  <si>
    <t>Tasa Arancelaria (TA) para el rubro de Productos Importados (TABBT)</t>
  </si>
  <si>
    <t>100% Privado</t>
  </si>
  <si>
    <t>Diferencia</t>
  </si>
  <si>
    <t>D B5 (S/./gl)</t>
  </si>
  <si>
    <t>Transmision Principal</t>
  </si>
  <si>
    <t>Precio en Barra-SEIN</t>
  </si>
  <si>
    <t>Precio en Barra-Aislados</t>
  </si>
  <si>
    <t>Ajuste</t>
  </si>
  <si>
    <t>Diesel B5+ISC (S/./gl) - Callao</t>
  </si>
  <si>
    <t>Diesel B5+ISC (S/./gl) - El Milagro</t>
  </si>
  <si>
    <t>Diesel B5+ISC (S/./gl) - Iquitos</t>
  </si>
  <si>
    <t>Diesel B5+ISC (S/./gl) - Cusco</t>
  </si>
  <si>
    <t>Variación respecto al mes pasado</t>
  </si>
  <si>
    <t>IPcu/IPcuo*Dcu/Dcuo</t>
  </si>
  <si>
    <t>IPAl/IPAlo*Dcu/Dcuo</t>
  </si>
  <si>
    <t>D / Do MT</t>
  </si>
  <si>
    <t>D / Do BT</t>
  </si>
  <si>
    <t>D / Do SED</t>
  </si>
  <si>
    <t>MT</t>
  </si>
  <si>
    <t>BT</t>
  </si>
  <si>
    <t>SED</t>
  </si>
  <si>
    <t>Factor que motiva ajuste.</t>
  </si>
  <si>
    <t>Factor ajustado en la cadena de costos.</t>
  </si>
  <si>
    <t>Hidrandina, Seal</t>
  </si>
  <si>
    <t>PCSPT + PTSGT (S/./kW-mes)</t>
  </si>
  <si>
    <t>C.H. Santa Cruz II</t>
  </si>
  <si>
    <t>C.H. Santa Cruz I</t>
  </si>
  <si>
    <t>C. H. Purmacana</t>
  </si>
  <si>
    <t>Cargo por Garantía</t>
  </si>
  <si>
    <t>(Art. 1ro.)</t>
  </si>
  <si>
    <t>(Art. 2do.)</t>
  </si>
  <si>
    <t>(Art. 1ro +2do.)</t>
  </si>
  <si>
    <t xml:space="preserve">Sistemas Eléctricos a los que se aplica el cargo   </t>
  </si>
  <si>
    <t>Tacna, Tomasiri, Yarada y Tarata</t>
  </si>
  <si>
    <t>Pucallpa, Campo Verde</t>
  </si>
  <si>
    <t xml:space="preserve">SST Aguaytía-Pucallpa, S.E. Aguaytía 220/138/22,9 kV, S.E. Pucallpa 138/60/10 kV, Reactor 8 MVAR </t>
  </si>
  <si>
    <t>http://www2.osinerg.gob.pe/PreciosReferencia/pdf/2010/Diciembre/Potencia_Efectiva_Unidades_Duales(DP).PDF</t>
  </si>
  <si>
    <t>Historico de los Factores de Actualización Tarifaria</t>
  </si>
  <si>
    <t>1] El cargo CPSEE se aplica únicamente a los sistemas eléctricos indicados y no a toda el Área de Demanda en la que se encuentran.</t>
  </si>
  <si>
    <t>[2] Los cargos correspondientes a estas instalaciones son el resultado de la liquidación anual de los respectivos contratos BOOT.</t>
  </si>
  <si>
    <t>Tarifas a usuario final, costos de conexión, cargos de reposición y mantenimiento e importes maximos por corte y reconexión.</t>
  </si>
  <si>
    <t>http://www.aduanet.gob.pe/itarancel/arancelS01Alias</t>
  </si>
  <si>
    <t>Valor Base</t>
  </si>
  <si>
    <t>C.2 DISTRIBUCIÓN - PRESUPUESTOS DE CONEXIÓN - Resolución OSINERGMIN Nº 153-2011-OS/CD</t>
  </si>
  <si>
    <t>1. PRESUPUESTOS Y CARGOS DE REPOSICIÓN DE LA CONEXIÓN</t>
  </si>
  <si>
    <t>Para conexiones</t>
  </si>
  <si>
    <t>a) Conexiones en Baja Tensión - C1/C2</t>
  </si>
  <si>
    <t>b) Conexiones en Baja Tensión - C3/C4</t>
  </si>
  <si>
    <t>c) Conexiones Básicas en Media Tensión (PMI y Celda) - C5</t>
  </si>
  <si>
    <t>d) Otros Elementos Electromecánicos en Media Tensión - C5</t>
  </si>
  <si>
    <t>e) Vereda, Murete, Mástil y Protección de Estructuras - C1/C2/C3/C4/C5</t>
  </si>
  <si>
    <t>Para cambio a conexión prepago</t>
  </si>
  <si>
    <t>Para costos por metro de cable</t>
  </si>
  <si>
    <t>2. MANTENIMIENTO DE LA CONEXIÓN</t>
  </si>
  <si>
    <t>b) Conexiones en Baja y Media Tensión  (PMI y Celda) - C3/C4/C5</t>
  </si>
  <si>
    <t>a) Corte y Reconexión</t>
  </si>
  <si>
    <t>C.3. DISTRIBUCIÓN - CORTE Y RECONEXIÓN (FAIM) - Resolución OSINERGMIN Nº 159-2011-OS/CD</t>
  </si>
  <si>
    <t>7413.00.00.00</t>
  </si>
  <si>
    <t>7614.90.00.00</t>
  </si>
  <si>
    <t>TC</t>
  </si>
  <si>
    <t>D</t>
  </si>
  <si>
    <t>Dcu</t>
  </si>
  <si>
    <t>Dal</t>
  </si>
  <si>
    <t>CONEXIÓN</t>
  </si>
  <si>
    <t>FAPC(x)</t>
  </si>
  <si>
    <t>Tipo de Conexión</t>
  </si>
  <si>
    <t>APC</t>
  </si>
  <si>
    <t>BPC</t>
  </si>
  <si>
    <t>CPC</t>
  </si>
  <si>
    <t>DPC</t>
  </si>
  <si>
    <t>Conexiones en Baja Tensión - C1/C2</t>
  </si>
  <si>
    <t>FAPC(1)</t>
  </si>
  <si>
    <t>C1/C2</t>
  </si>
  <si>
    <t>Conexiones en Baja Tensión - C3/C4</t>
  </si>
  <si>
    <t>FAPC(2)</t>
  </si>
  <si>
    <t>C3/C4</t>
  </si>
  <si>
    <t>Conexiones Básicas en Media Tensión (PMI y Celda) - C5</t>
  </si>
  <si>
    <t>FAPC(3)</t>
  </si>
  <si>
    <t>C5</t>
  </si>
  <si>
    <t>Otros Elementos Electromecánicos en Media Tensión - C5</t>
  </si>
  <si>
    <t>FAPC(4)</t>
  </si>
  <si>
    <t>Vereda, Murete, Mástil y Protección de Estructuras - C1/C2/C3/C4/C5</t>
  </si>
  <si>
    <t>FAPC(5)</t>
  </si>
  <si>
    <t>C1/C2/C3/C4/C5</t>
  </si>
  <si>
    <t>FAPC(6)</t>
  </si>
  <si>
    <t>FAPC(7)</t>
  </si>
  <si>
    <t>MANTENIMIENTO</t>
  </si>
  <si>
    <t>FACM(x)</t>
  </si>
  <si>
    <t>ACM</t>
  </si>
  <si>
    <t>BCM</t>
  </si>
  <si>
    <t>CCM</t>
  </si>
  <si>
    <t>DCM</t>
  </si>
  <si>
    <t>Conexiones Aéreas, Subterráneas, Subterráneas Múltiples y Mixtas en Baja Tensión</t>
  </si>
  <si>
    <t>FACM(1)</t>
  </si>
  <si>
    <t>Conexiones Aéreas, Mixtas y Subterráneas en Baja Tensión Conexiones en Media Tensión (PMI y Celda)</t>
  </si>
  <si>
    <t>FACM(2)</t>
  </si>
  <si>
    <t>C3/C4/C5</t>
  </si>
  <si>
    <t>Generación Aislada</t>
  </si>
  <si>
    <t xml:space="preserve">Variable </t>
  </si>
  <si>
    <t>Precio + ISC</t>
  </si>
  <si>
    <t>Indicadores Macroeconómicos de la Transmision (Parte 1)</t>
  </si>
  <si>
    <t>Indicadores Macroeconómicos y Precios de los Combustibles (Parte 1)</t>
  </si>
  <si>
    <t>Indicadores Macroeconómicos de la Distribucion (Parte 1)</t>
  </si>
  <si>
    <t>Indicadores Macroeconómicos y Precios de los Combustibles (Parte 2)</t>
  </si>
  <si>
    <t>Indicadores Macroeconómicos de la Transmision (Parte 2)</t>
  </si>
  <si>
    <t>Indicadores Macroeconómicos de la Distribucion (Parte 2)</t>
  </si>
  <si>
    <t>PEAJES DE CONEXIÓN A LOS SISTEMAS DE TRANSMISIÓN</t>
  </si>
  <si>
    <t>Evaluación de los Factores de Actualización Tarifaria</t>
  </si>
  <si>
    <t>TASAS ARANCELARIAS (Parte 1)</t>
  </si>
  <si>
    <t>TASAS ARANCELARIAS (Parte 2)</t>
  </si>
  <si>
    <t>(1)</t>
  </si>
  <si>
    <t>(2)</t>
  </si>
  <si>
    <t>(3)</t>
  </si>
  <si>
    <t>(4)</t>
  </si>
  <si>
    <t>(5)</t>
  </si>
  <si>
    <t>(6)</t>
  </si>
  <si>
    <t>(7)</t>
  </si>
  <si>
    <t>(8)</t>
  </si>
  <si>
    <t>(9)</t>
  </si>
  <si>
    <t>Al 31.12.2011</t>
  </si>
  <si>
    <t>ANEXO 2: ACTUALIZACIÓN DEL PRECIO DE LOS COMBUSTIBLES</t>
  </si>
  <si>
    <t>ANEXO 3: ACTUALIZACIÓN DE LAS TASAS ARANCELARIAS DEL VALOR AGREGADO DE DISTRIBUCIÓN</t>
  </si>
  <si>
    <t>Determinación de los Factores de Actualización Tarifaria Aplicables</t>
  </si>
  <si>
    <t>Tarifario +/-</t>
  </si>
  <si>
    <t>aplicable</t>
  </si>
  <si>
    <t>Donde:</t>
  </si>
  <si>
    <t>Ft-1 = Factor empleado en la última actualización</t>
  </si>
  <si>
    <t>Ft    = Factor calculado en la presente evaluación</t>
  </si>
  <si>
    <t xml:space="preserve">       = Factor ratificado en la evaluación del mes anterior</t>
  </si>
  <si>
    <t>Ft</t>
  </si>
  <si>
    <t>Ft-1</t>
  </si>
  <si>
    <t>Factor ajustado en la cadena de costos</t>
  </si>
  <si>
    <t xml:space="preserve">Factor que motiva ajuste </t>
  </si>
  <si>
    <t>ANEXO 1: ACTUALIZACIÓN DEL PRECIO DEL ALUMINIO, PRECIO DEL COBRE, IPM, TIPO DE CAMBIO</t>
  </si>
  <si>
    <t>Aplicable</t>
  </si>
  <si>
    <r>
      <t xml:space="preserve">Mes </t>
    </r>
    <r>
      <rPr>
        <b/>
        <vertAlign val="subscript"/>
        <sz val="14"/>
        <color rgb="FFFF0000"/>
        <rFont val="Arial"/>
        <family val="2"/>
      </rPr>
      <t>t-2</t>
    </r>
  </si>
  <si>
    <r>
      <t xml:space="preserve">Mes </t>
    </r>
    <r>
      <rPr>
        <b/>
        <vertAlign val="subscript"/>
        <sz val="14"/>
        <color rgb="FFFF0000"/>
        <rFont val="Arial"/>
        <family val="2"/>
      </rPr>
      <t>t-1</t>
    </r>
  </si>
  <si>
    <t>Fecha del indicador  === &gt;</t>
  </si>
  <si>
    <t>Al</t>
  </si>
  <si>
    <t>PRECIO DEL COBRE - Fuente BCRP (Nota Semanal - Cuadro 58)</t>
  </si>
  <si>
    <t>PGN (US$/MMBtu)</t>
  </si>
  <si>
    <t>Cuadro N° 6: Resolucion OSINERGMIN Nº 057-2012-OS/CD</t>
  </si>
  <si>
    <t>Resolución 057-2012-OS/CD</t>
  </si>
  <si>
    <t>GENERACIÓN (Resolucion OSINERGMIN Nº 057-2012-OS/CD)</t>
  </si>
  <si>
    <t>Cuadro N° 5 y 6 de Resolución OSINERGMIN N° 057-2012-OS/CD</t>
  </si>
  <si>
    <t>Dif</t>
  </si>
  <si>
    <r>
      <t>FAPEM</t>
    </r>
    <r>
      <rPr>
        <vertAlign val="subscript"/>
        <sz val="11"/>
        <rFont val="Arial"/>
        <family val="2"/>
      </rPr>
      <t>MAX</t>
    </r>
  </si>
  <si>
    <t>d*FTC</t>
  </si>
  <si>
    <t>s*FPM</t>
  </si>
  <si>
    <t>Residual</t>
  </si>
  <si>
    <t>Diesel</t>
  </si>
  <si>
    <t>Dif/(e+f)</t>
  </si>
  <si>
    <t>F=</t>
  </si>
  <si>
    <t>(D0+ISC)*F</t>
  </si>
  <si>
    <t>(R60+ISC)*F</t>
  </si>
  <si>
    <r>
      <t>R6t</t>
    </r>
    <r>
      <rPr>
        <vertAlign val="subscript"/>
        <sz val="12"/>
        <rFont val="Arial"/>
        <family val="2"/>
      </rPr>
      <t>(SinISC)</t>
    </r>
  </si>
  <si>
    <r>
      <t>Dt</t>
    </r>
    <r>
      <rPr>
        <vertAlign val="subscript"/>
        <sz val="12"/>
        <rFont val="Arial"/>
        <family val="2"/>
      </rPr>
      <t>(sinISC)</t>
    </r>
  </si>
  <si>
    <t>Var.%D</t>
  </si>
  <si>
    <t>Var.%R6</t>
  </si>
  <si>
    <t>DMIN</t>
  </si>
  <si>
    <t>DMAX</t>
  </si>
  <si>
    <t>RMIN</t>
  </si>
  <si>
    <t>DMAXAj _ Var%=5%</t>
  </si>
  <si>
    <t>R6MAXAj _ Var%=5%</t>
  </si>
  <si>
    <t>R6MAX</t>
  </si>
  <si>
    <t>R6MIN</t>
  </si>
  <si>
    <t>28 del mes anterior</t>
  </si>
  <si>
    <t>TRANSMISIÓN PRINCIPAL (Resolucion OSINERGMIN Nº 057-2012-OS/CD)</t>
  </si>
  <si>
    <t>El IPM del 28 del mes anterior a las tarifas del 01/05/2012</t>
  </si>
  <si>
    <t>corresponde al IPM publicado el 01/04/2012 (IPM Marzo 2012)</t>
  </si>
  <si>
    <t>ISA</t>
  </si>
  <si>
    <t>Línea Independencia-Ica</t>
  </si>
  <si>
    <t>FA_PNG</t>
  </si>
  <si>
    <t>C.T. Huaycoloro</t>
  </si>
  <si>
    <t>C.H. Huasahuasi I</t>
  </si>
  <si>
    <t>C.H. Huasahuasi II</t>
  </si>
  <si>
    <t>C.H. Nuevo Imperial</t>
  </si>
  <si>
    <t>Línea Chilca -Zapallal (Tramos 1 y 2)</t>
  </si>
  <si>
    <t xml:space="preserve">Líneas Carhuamayo - Cajamarca 220 kV (Tramos 1, 2, 3 y4) y SVC-Cajamarca </t>
  </si>
  <si>
    <t>Cargo Unitario por Generación Adicional</t>
  </si>
  <si>
    <t>(*) Valores que dependen de la variable "p" la cual se actualiza trimestralmente.</t>
  </si>
  <si>
    <t>Cargo Unitario por Compensación por Seguridad de Suministro (*)</t>
  </si>
  <si>
    <t>Cargo Unitario por CVOA-CMg (*)</t>
  </si>
  <si>
    <t>Cargo Unitario por CVOA-RSC (*)</t>
  </si>
  <si>
    <t>Cargo por Prima (*)</t>
  </si>
  <si>
    <t>SST Tacna (Los Héroes) - Transf. 220/66/10 kV; 50 MVA [2]</t>
  </si>
  <si>
    <t>SCT de Transmantaro (Linea Independencia - Ica) (*)</t>
  </si>
  <si>
    <t>Valores Base en Res. 076-2011-OS/CD, Res. 059-2012-OS/CD. Fórmula de Actualización en Res. 121-2011-OS/CD.</t>
  </si>
  <si>
    <t>SCT de Transmantaro</t>
  </si>
  <si>
    <t>TC (S/./US$) (*)</t>
  </si>
  <si>
    <t>(*) En el caso de SCT Transmantaro</t>
  </si>
  <si>
    <t>Valores Base de la Fórmula de Actualización en la Res. 076-2011-OS/CD, modificados mediante Res. 121-2011-OS/CD.</t>
  </si>
  <si>
    <t>A. GENERACIÓN - TARIFAS EN BARRA (Resolución OSINERGMIN N° 057-2012-OS/CD)</t>
  </si>
  <si>
    <t>B1. TRANSMISIÓN PRINCIPAL - PEAJES (Resoluciónes OSINERGMIN N° 057-2012-OS/CD)</t>
  </si>
  <si>
    <t>SCT de Transmantaro (Linea Independencia - Ica)</t>
  </si>
  <si>
    <t>B. Actualización de Peajes por Áreas de Demanda (Resolución OSINERG N° 184-2009-OS/CD), BOOT (Res. 058-2012-OS/CD), SCT Transmantaro (076-2011-OS/CD, 121-2011-OS/CD, 059-2012-OS/CD)</t>
  </si>
  <si>
    <t>FIGV (Resoluciones OSINERGMIN N° 182-2009-OS/CD)</t>
  </si>
  <si>
    <t>FA_PNG (Res. 078-2012-OS/CD)</t>
  </si>
  <si>
    <t>FACCSP (Cargo Comercial del Servicio Prepago) Res. 442-2006-OS/CD</t>
  </si>
  <si>
    <t>www.bcrp.gob.pe/docs/Estadisticas/Cuadros-Estadisticos/NC_058.xls</t>
  </si>
  <si>
    <t>http://www.sbs.gob.pe/app/stats/tc-cv.asp</t>
  </si>
  <si>
    <t>http://www.petroperu.com.pe/portalweb/Main.asp?Seccion=4</t>
  </si>
  <si>
    <t>http://www2.osinerg.gob.pe/PreciosReferencia/TarPreciosReferencia_2012.html</t>
  </si>
  <si>
    <t>IMPACTO DEL PRECIO DE LOS COMBUSTIBLES</t>
  </si>
  <si>
    <t>Cerrada</t>
  </si>
  <si>
    <t>Var. %</t>
  </si>
  <si>
    <t>Resolución 184-2009-OS/CD</t>
  </si>
  <si>
    <t>Resolución 181-2009-OS/CD</t>
  </si>
  <si>
    <t>ELSM, HDN, Seal</t>
  </si>
  <si>
    <t>Por actividad</t>
  </si>
  <si>
    <t>Variación respecto al último ajuste</t>
  </si>
  <si>
    <t>IPM Pre Pago</t>
  </si>
  <si>
    <t>IPM Al 01.07.2012</t>
  </si>
  <si>
    <t>IPC Al 01.07.2012</t>
  </si>
  <si>
    <t>Excepto IPM Prepado, estos indicadores, aplicar a:</t>
  </si>
  <si>
    <t>Eilhicha</t>
  </si>
  <si>
    <t>(*)</t>
  </si>
  <si>
    <t>(*) Se requiere su existencia el 01/05/2012 idéntico a Adinelsa - Aislado (no afecto a variación de combustibles).</t>
  </si>
  <si>
    <t>Resoluciones OSINERGMIN Nº 057-2012-OS/CD, Res. 115-2012-OS/CD, Res 169-2012-OS/CD (factor "p" Ago 2012)</t>
  </si>
  <si>
    <t>Resolución OSINERGMIN Nº 184-2009-OS/CD modificado por R.279-2009 - Cuadro 4.1. Incluye Res. 059-2012-OS/CD, Res. 130-2012-OS/CD y Fe de Erratas del 28.06.2012, Res. 148-2012-OS/CD, Res 169-2012-OS/CD (PUC Ago 2012)</t>
  </si>
  <si>
    <t>Resolucion del Peaje Unitario de Compensación (PUC) (*)</t>
  </si>
  <si>
    <t>(*) Valores Base en Res. 076-2011-OS/CD, Res. 059-2012-OS/CD. Fórmula de Actualización en Res. 121-2011-OS/CD, Última actualización en Res. 130-2012-OS/CD, Res 169-2012-OS/CD (PUC Ago 2012)</t>
  </si>
  <si>
    <t>Resolución OSINERGMIN Nº 184-2009-OS/CD-Cuadro 5.1 (Pag. 227). Incluye Res. Nº 058-2012-OS/CD</t>
  </si>
  <si>
    <t>*</t>
  </si>
  <si>
    <t>Lima (Callao)*</t>
  </si>
  <si>
    <t>(*) Actualización de Precios en Barra y alineación de criterios: Caso SEIN (Precio de Referencia del Diesel)</t>
  </si>
  <si>
    <t>- Para el caso del SEIN, mediante Oficio GART 541-2012-GART dirigido a Edelnor con fecha 07/08/2012.</t>
  </si>
  <si>
    <t>- En este oficio, se establecen qué Precio de Referencia del Diesel se utilizará en las fórmulas de reajuste en los contratos (licitaciones)</t>
  </si>
  <si>
    <t>- En resumen, el precio a utilizarse correspondería al valor del Addendum N° 1 de la lista de Petroperú.</t>
  </si>
  <si>
    <t xml:space="preserve"> - Al 04/08/2012 no existe un precio de referencia del Diesel 2 en la Hoja 1 de la Lista de Precios de Petroperú.</t>
  </si>
  <si>
    <t>- Se han recibido correos  solicitando un precio de referencia del Diesel para la actualización de barra, pese a que su ponderador SEIN es cero.</t>
  </si>
  <si>
    <t>- A fin de alinear criterios, el precio Diesel a utilizarse en la actualización de barra, correspondería al valor del Addendum N° 1 de la lista de Petro.</t>
  </si>
  <si>
    <t>(*) Actualización de Precios de Contratos resultantes de procesos de licitación de suministro: Caso SEIN (Precio de Referencia Diesel)</t>
  </si>
  <si>
    <t>- Ello es consistente con la definición prevista para esta variable ISC_D2 en el Cuadro 6 de la Res. de Barra 057-2012-OS/CD:</t>
  </si>
  <si>
    <r>
      <t xml:space="preserve">* Precio actualizado para el caso del Diesel (SEIN) al 04/08/2012 conforme a los criterios del Oficio GART 541-2012-GART. Para el detalle de los criterios de aplicación (precio + ISC respectivo), ver rango: </t>
    </r>
    <r>
      <rPr>
        <b/>
        <sz val="10"/>
        <color rgb="FFFF0000"/>
        <rFont val="Arial"/>
        <family val="2"/>
      </rPr>
      <t>ResumenIndicadores!B53:I81</t>
    </r>
  </si>
  <si>
    <t>IPM Al 01.08.2012</t>
  </si>
  <si>
    <t>IPC Al 01.08.2012</t>
  </si>
  <si>
    <r>
      <t xml:space="preserve">* Para el detalle de los criterios de aplicación del ISC Diesel (precio + ISC respectivo) después del 07/08/2012, ver rango: </t>
    </r>
    <r>
      <rPr>
        <b/>
        <sz val="10"/>
        <color rgb="FFFF0000"/>
        <rFont val="Arial"/>
        <family val="2"/>
      </rPr>
      <t>ResumenIndicadores!B53:I81</t>
    </r>
  </si>
  <si>
    <t>(*) Implicancias del ISC del Diesel SEIN y Aislados ante el Nuevo Precio Diesel B5 en la evaluación realizada para el 04/09/2012</t>
  </si>
  <si>
    <t>- El Precio del Diesel del Addendum 1 y del Addendum 4 tiene otro ISC (distinto al de los fijados incialmente)</t>
  </si>
  <si>
    <t>- Para efectos de la referencia, se está considerando los impuestos del combustible de referencia (Addendum 1 - SEIN) y (Addendum 4 - Aislados).</t>
  </si>
  <si>
    <t>Hoja1 (Sein Residual), Addendum1 (Sein Diesel) y Addendum4 (Aislados)</t>
  </si>
  <si>
    <t>IPM Al 01.09.2012</t>
  </si>
  <si>
    <t>IPC Al 01.09.2012</t>
  </si>
</sst>
</file>

<file path=xl/styles.xml><?xml version="1.0" encoding="utf-8"?>
<styleSheet xmlns="http://schemas.openxmlformats.org/spreadsheetml/2006/main" xmlns:mc="http://schemas.openxmlformats.org/markup-compatibility/2006" xmlns:x14ac="http://schemas.microsoft.com/office/spreadsheetml/2009/9/ac" mc:Ignorable="x14ac">
  <numFmts count="28">
    <numFmt numFmtId="164" formatCode="0.0%"/>
    <numFmt numFmtId="165" formatCode="General_)"/>
    <numFmt numFmtId="166" formatCode="0.0000_)"/>
    <numFmt numFmtId="167" formatCode="#,##0.0000_);\(#,##0.0000\)"/>
    <numFmt numFmtId="168" formatCode="0.0000"/>
    <numFmt numFmtId="169" formatCode="0.000"/>
    <numFmt numFmtId="170" formatCode="0.000000"/>
    <numFmt numFmtId="171" formatCode="#,##0.000"/>
    <numFmt numFmtId="172" formatCode="#,##0.0000"/>
    <numFmt numFmtId="173" formatCode="0.00000"/>
    <numFmt numFmtId="174" formatCode="dd/mm/yyyy;@"/>
    <numFmt numFmtId="175" formatCode="0.00000000"/>
    <numFmt numFmtId="176" formatCode="0\,0000"/>
    <numFmt numFmtId="177" formatCode="#####\ ##0.00"/>
    <numFmt numFmtId="178" formatCode="_-* #,##0_-;\-* #,##0_-;_-* &quot;-&quot;_-;_-@_-"/>
    <numFmt numFmtId="179" formatCode="_-* #,##0.00_-;\-* #,##0.00_-;_-* &quot;-&quot;??_-;_-@_-"/>
    <numFmt numFmtId="180" formatCode="_-* #,##0.00\ [$€]_-;\-* #,##0.00\ [$€]_-;_-* &quot;-&quot;??\ [$€]_-;_-@_-"/>
    <numFmt numFmtId="181" formatCode="&quot;US$&quot;#,##0.00;[Red]&quot;US$&quot;\-#,##0.00"/>
    <numFmt numFmtId="182" formatCode="&quot;US$&quot;#,##0;&quot;US$&quot;\-#,##0"/>
    <numFmt numFmtId="183" formatCode="&quot;US$&quot;#,##0.00;&quot;US$&quot;\-#,##0.00"/>
    <numFmt numFmtId="184" formatCode="_(* #,##0_);_(* \(#,##0\);_(* &quot;-&quot;??_);_(@_)"/>
    <numFmt numFmtId="185" formatCode="&quot;US$&quot;#,##0;[Red]&quot;US$&quot;\-#,##0"/>
    <numFmt numFmtId="186" formatCode="&quot;S/&quot;#,##0;&quot;S/&quot;\-#,##0"/>
    <numFmt numFmtId="187" formatCode="_ * #,##0_)_P_t_s_ ;_ * \(#,##0\)_P_t_s_ ;_ * &quot;-&quot;_)_P_t_s_ ;_ @_ "/>
    <numFmt numFmtId="188" formatCode="_(* #,##0.0000_);_(* \(#,##0.0000\);_(* &quot;-&quot;????_);_(@_)"/>
    <numFmt numFmtId="189" formatCode="_(* #,##0.00000_);_(* \(#,##0.00000\);_(* &quot;-&quot;??_);_(@_)"/>
    <numFmt numFmtId="190" formatCode="mmmm"/>
    <numFmt numFmtId="191" formatCode="mmm\-yyyy"/>
  </numFmts>
  <fonts count="82">
    <font>
      <sz val="12"/>
      <name val="Arial MT"/>
    </font>
    <font>
      <sz val="10"/>
      <name val="Arial"/>
      <family val="2"/>
    </font>
    <font>
      <b/>
      <sz val="11"/>
      <name val="Arial"/>
      <family val="2"/>
    </font>
    <font>
      <b/>
      <sz val="10"/>
      <name val="Arial"/>
      <family val="2"/>
    </font>
    <font>
      <b/>
      <sz val="8"/>
      <name val="Arial"/>
      <family val="2"/>
    </font>
    <font>
      <sz val="11"/>
      <name val="Arial"/>
      <family val="2"/>
    </font>
    <font>
      <sz val="14"/>
      <name val="Arial"/>
      <family val="2"/>
    </font>
    <font>
      <sz val="9"/>
      <name val="Arial"/>
      <family val="2"/>
    </font>
    <font>
      <b/>
      <sz val="20"/>
      <name val="Arial"/>
      <family val="2"/>
    </font>
    <font>
      <b/>
      <sz val="14"/>
      <name val="Arial"/>
      <family val="2"/>
    </font>
    <font>
      <u/>
      <sz val="9"/>
      <color indexed="12"/>
      <name val="Arial MT"/>
    </font>
    <font>
      <sz val="12"/>
      <name val="Arial MT"/>
    </font>
    <font>
      <sz val="8"/>
      <name val="Arial"/>
      <family val="2"/>
    </font>
    <font>
      <sz val="12"/>
      <name val="Arial"/>
      <family val="2"/>
    </font>
    <font>
      <b/>
      <sz val="12"/>
      <color indexed="10"/>
      <name val="Arial"/>
      <family val="2"/>
    </font>
    <font>
      <sz val="8"/>
      <name val="Arial"/>
      <family val="2"/>
    </font>
    <font>
      <sz val="8"/>
      <color indexed="81"/>
      <name val="Tahoma"/>
      <family val="2"/>
    </font>
    <font>
      <b/>
      <sz val="12"/>
      <name val="Arial"/>
      <family val="2"/>
    </font>
    <font>
      <b/>
      <i/>
      <sz val="12"/>
      <name val="Arial"/>
      <family val="2"/>
    </font>
    <font>
      <sz val="14"/>
      <color indexed="81"/>
      <name val="Tahoma"/>
      <family val="2"/>
    </font>
    <font>
      <b/>
      <sz val="12"/>
      <color indexed="81"/>
      <name val="Tahoma"/>
      <family val="2"/>
    </font>
    <font>
      <b/>
      <sz val="8"/>
      <color indexed="81"/>
      <name val="Tahoma"/>
      <family val="2"/>
    </font>
    <font>
      <sz val="10"/>
      <name val="Arial Narrow"/>
      <family val="2"/>
    </font>
    <font>
      <sz val="9"/>
      <name val="Arial Narrow"/>
      <family val="2"/>
    </font>
    <font>
      <sz val="9"/>
      <color indexed="8"/>
      <name val="Arial Narrow"/>
      <family val="2"/>
    </font>
    <font>
      <b/>
      <sz val="9"/>
      <name val="Arial Narrow"/>
      <family val="2"/>
    </font>
    <font>
      <b/>
      <sz val="9"/>
      <color indexed="8"/>
      <name val="Arial Narrow"/>
      <family val="2"/>
    </font>
    <font>
      <sz val="12"/>
      <name val="Arial Narrow"/>
      <family val="2"/>
    </font>
    <font>
      <b/>
      <sz val="14"/>
      <color indexed="81"/>
      <name val="Tahoma"/>
      <family val="2"/>
    </font>
    <font>
      <sz val="10"/>
      <name val="Arial"/>
      <family val="2"/>
    </font>
    <font>
      <u/>
      <sz val="10"/>
      <color indexed="12"/>
      <name val="Arial"/>
      <family val="2"/>
    </font>
    <font>
      <b/>
      <sz val="16"/>
      <name val="Arial"/>
      <family val="2"/>
    </font>
    <font>
      <sz val="16"/>
      <name val="Arial"/>
      <family val="2"/>
    </font>
    <font>
      <b/>
      <sz val="10"/>
      <color indexed="20"/>
      <name val="Arial MT"/>
    </font>
    <font>
      <b/>
      <i/>
      <sz val="24"/>
      <name val="Arial"/>
      <family val="2"/>
    </font>
    <font>
      <sz val="8"/>
      <name val="Times New Roman"/>
      <family val="1"/>
    </font>
    <font>
      <sz val="10"/>
      <name val="BERNHARD"/>
    </font>
    <font>
      <sz val="10"/>
      <name val="Helv"/>
    </font>
    <font>
      <sz val="10"/>
      <name val="MS Serif"/>
      <family val="1"/>
    </font>
    <font>
      <sz val="10"/>
      <name val="Courier"/>
      <family val="3"/>
    </font>
    <font>
      <sz val="10"/>
      <color indexed="16"/>
      <name val="MS Serif"/>
      <family val="1"/>
    </font>
    <font>
      <sz val="7"/>
      <name val="Small Fonts"/>
      <family val="2"/>
    </font>
    <font>
      <sz val="11"/>
      <name val="‚l‚r –¾’©"/>
      <charset val="128"/>
    </font>
    <font>
      <sz val="10"/>
      <name val="MS Sans Serif"/>
      <family val="2"/>
    </font>
    <font>
      <sz val="8"/>
      <name val="Helv"/>
    </font>
    <font>
      <b/>
      <sz val="8"/>
      <color indexed="8"/>
      <name val="Helv"/>
    </font>
    <font>
      <sz val="10"/>
      <color indexed="10"/>
      <name val="Arial"/>
      <family val="2"/>
    </font>
    <font>
      <b/>
      <sz val="10"/>
      <name val="Arial Narrow"/>
      <family val="2"/>
    </font>
    <font>
      <sz val="10"/>
      <name val="Arial"/>
      <family val="2"/>
    </font>
    <font>
      <sz val="10"/>
      <color indexed="8"/>
      <name val="Arial Narrow"/>
      <family val="2"/>
    </font>
    <font>
      <sz val="14"/>
      <color indexed="10"/>
      <name val="Arial"/>
      <family val="2"/>
    </font>
    <font>
      <sz val="11"/>
      <color indexed="10"/>
      <name val="Arial"/>
      <family val="2"/>
    </font>
    <font>
      <sz val="10"/>
      <name val="Arial MT"/>
    </font>
    <font>
      <b/>
      <u/>
      <sz val="10"/>
      <name val="Arial"/>
      <family val="2"/>
    </font>
    <font>
      <sz val="11"/>
      <name val="Arial Narrow"/>
      <family val="2"/>
    </font>
    <font>
      <sz val="12"/>
      <color indexed="10"/>
      <name val="Arial"/>
      <family val="2"/>
    </font>
    <font>
      <sz val="11"/>
      <color indexed="59"/>
      <name val="Arial"/>
      <family val="2"/>
    </font>
    <font>
      <sz val="12"/>
      <name val="Arial MT"/>
    </font>
    <font>
      <sz val="11"/>
      <name val="Arial MT"/>
    </font>
    <font>
      <b/>
      <sz val="9"/>
      <color indexed="81"/>
      <name val="Tahoma"/>
      <family val="2"/>
    </font>
    <font>
      <b/>
      <sz val="14"/>
      <color indexed="10"/>
      <name val="Arial"/>
      <family val="2"/>
    </font>
    <font>
      <sz val="11"/>
      <color indexed="8"/>
      <name val="Arial MT"/>
    </font>
    <font>
      <sz val="8"/>
      <color rgb="FFFF0000"/>
      <name val="Arial"/>
      <family val="2"/>
    </font>
    <font>
      <b/>
      <sz val="11"/>
      <name val="Arial MT"/>
    </font>
    <font>
      <b/>
      <sz val="11"/>
      <color indexed="8"/>
      <name val="Calibri"/>
      <family val="2"/>
    </font>
    <font>
      <sz val="11"/>
      <color indexed="10"/>
      <name val="Calibri"/>
      <family val="2"/>
    </font>
    <font>
      <sz val="11"/>
      <name val="Calibri"/>
      <family val="2"/>
    </font>
    <font>
      <sz val="11"/>
      <color indexed="10"/>
      <name val="Arial MT"/>
    </font>
    <font>
      <u/>
      <sz val="12"/>
      <color indexed="12"/>
      <name val="Arial MT"/>
    </font>
    <font>
      <b/>
      <sz val="20"/>
      <color rgb="FF0070C0"/>
      <name val="Arial"/>
      <family val="2"/>
    </font>
    <font>
      <b/>
      <sz val="18"/>
      <color rgb="FF0070C0"/>
      <name val="Arial"/>
      <family val="2"/>
    </font>
    <font>
      <sz val="14"/>
      <color rgb="FFFF0000"/>
      <name val="Arial"/>
      <family val="2"/>
    </font>
    <font>
      <b/>
      <sz val="14"/>
      <color rgb="FFFF0000"/>
      <name val="Arial"/>
      <family val="2"/>
    </font>
    <font>
      <b/>
      <sz val="10"/>
      <color rgb="FFFF0000"/>
      <name val="Arial"/>
      <family val="2"/>
    </font>
    <font>
      <b/>
      <vertAlign val="subscript"/>
      <sz val="14"/>
      <color rgb="FFFF0000"/>
      <name val="Arial"/>
      <family val="2"/>
    </font>
    <font>
      <vertAlign val="subscript"/>
      <sz val="11"/>
      <name val="Arial"/>
      <family val="2"/>
    </font>
    <font>
      <vertAlign val="subscript"/>
      <sz val="12"/>
      <name val="Arial"/>
      <family val="2"/>
    </font>
    <font>
      <b/>
      <sz val="12"/>
      <name val="Arial Narrow"/>
      <family val="2"/>
    </font>
    <font>
      <sz val="12"/>
      <color indexed="8"/>
      <name val="Arial Narrow"/>
      <family val="2"/>
    </font>
    <font>
      <sz val="10"/>
      <color rgb="FFFF0000"/>
      <name val="Arial"/>
      <family val="2"/>
    </font>
    <font>
      <b/>
      <sz val="9.4"/>
      <name val="Arial Narrow"/>
      <family val="2"/>
    </font>
    <font>
      <sz val="9.4"/>
      <name val="Arial Narrow"/>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9"/>
        <bgColor indexed="64"/>
      </patternFill>
    </fill>
    <fill>
      <patternFill patternType="solid">
        <fgColor indexed="46"/>
        <bgColor indexed="64"/>
      </patternFill>
    </fill>
    <fill>
      <patternFill patternType="solid">
        <fgColor indexed="13"/>
        <bgColor indexed="64"/>
      </patternFill>
    </fill>
    <fill>
      <patternFill patternType="solid">
        <fgColor indexed="14"/>
        <bgColor indexed="64"/>
      </patternFill>
    </fill>
    <fill>
      <patternFill patternType="solid">
        <fgColor rgb="FFFFFF00"/>
        <bgColor indexed="64"/>
      </patternFill>
    </fill>
    <fill>
      <patternFill patternType="solid">
        <fgColor theme="0"/>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0.14999847407452621"/>
        <bgColor indexed="64"/>
      </patternFill>
    </fill>
  </fills>
  <borders count="5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8"/>
      </left>
      <right style="thin">
        <color indexed="8"/>
      </right>
      <top/>
      <bottom style="thin">
        <color indexed="8"/>
      </bottom>
      <diagonal/>
    </border>
    <border>
      <left style="thin">
        <color indexed="8"/>
      </left>
      <right/>
      <top style="thin">
        <color indexed="64"/>
      </top>
      <bottom/>
      <diagonal/>
    </border>
    <border>
      <left style="thin">
        <color indexed="8"/>
      </left>
      <right/>
      <top/>
      <bottom/>
      <diagonal/>
    </border>
    <border>
      <left style="thin">
        <color indexed="64"/>
      </left>
      <right style="thin">
        <color indexed="8"/>
      </right>
      <top/>
      <bottom style="thin">
        <color indexed="8"/>
      </bottom>
      <diagonal/>
    </border>
    <border>
      <left style="thin">
        <color indexed="8"/>
      </left>
      <right/>
      <top style="thin">
        <color indexed="8"/>
      </top>
      <bottom/>
      <diagonal/>
    </border>
    <border>
      <left style="thin">
        <color indexed="64"/>
      </left>
      <right style="thin">
        <color indexed="64"/>
      </right>
      <top/>
      <bottom style="thin">
        <color indexed="8"/>
      </bottom>
      <diagonal/>
    </border>
    <border>
      <left style="thin">
        <color indexed="64"/>
      </left>
      <right style="thin">
        <color indexed="64"/>
      </right>
      <top style="thin">
        <color indexed="64"/>
      </top>
      <bottom style="medium">
        <color indexed="12"/>
      </bottom>
      <diagonal/>
    </border>
    <border>
      <left style="thin">
        <color indexed="64"/>
      </left>
      <right style="thin">
        <color indexed="64"/>
      </right>
      <top style="thin">
        <color indexed="64"/>
      </top>
      <bottom style="medium">
        <color indexed="39"/>
      </bottom>
      <diagonal/>
    </border>
    <border>
      <left style="thin">
        <color indexed="64"/>
      </left>
      <right/>
      <top style="thin">
        <color indexed="8"/>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8"/>
      </top>
      <bottom/>
      <diagonal/>
    </border>
    <border>
      <left style="thin">
        <color indexed="8"/>
      </left>
      <right/>
      <top/>
      <bottom style="thin">
        <color indexed="64"/>
      </bottom>
      <diagonal/>
    </border>
    <border>
      <left style="thin">
        <color indexed="64"/>
      </left>
      <right/>
      <top/>
      <bottom style="thin">
        <color indexed="8"/>
      </bottom>
      <diagonal/>
    </border>
    <border>
      <left/>
      <right/>
      <top/>
      <bottom style="thin">
        <color indexed="8"/>
      </bottom>
      <diagonal/>
    </border>
    <border>
      <left/>
      <right/>
      <top style="thin">
        <color indexed="8"/>
      </top>
      <bottom/>
      <diagonal/>
    </border>
    <border>
      <left/>
      <right style="thin">
        <color indexed="64"/>
      </right>
      <top/>
      <bottom/>
      <diagonal/>
    </border>
    <border>
      <left style="thin">
        <color indexed="64"/>
      </left>
      <right style="thin">
        <color indexed="64"/>
      </right>
      <top style="thin">
        <color indexed="64"/>
      </top>
      <bottom style="medium">
        <color indexed="56"/>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auto="1"/>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53">
    <xf numFmtId="165" fontId="0" fillId="0" borderId="0"/>
    <xf numFmtId="0" fontId="11" fillId="0" borderId="0"/>
    <xf numFmtId="0" fontId="35" fillId="0" borderId="0">
      <alignment horizontal="center" wrapText="1"/>
      <protection locked="0"/>
    </xf>
    <xf numFmtId="177" fontId="29" fillId="0" borderId="0" applyFill="0" applyBorder="0" applyAlignment="0"/>
    <xf numFmtId="178" fontId="29" fillId="0" borderId="0" applyFont="0" applyFill="0" applyBorder="0" applyAlignment="0" applyProtection="0"/>
    <xf numFmtId="179" fontId="29" fillId="0" borderId="0" applyFont="0" applyFill="0" applyBorder="0" applyAlignment="0" applyProtection="0"/>
    <xf numFmtId="0" fontId="36" fillId="0" borderId="0"/>
    <xf numFmtId="0" fontId="37" fillId="0" borderId="0"/>
    <xf numFmtId="0" fontId="36" fillId="0" borderId="0"/>
    <xf numFmtId="0" fontId="36" fillId="0" borderId="0"/>
    <xf numFmtId="0" fontId="36" fillId="0" borderId="0"/>
    <xf numFmtId="0" fontId="37" fillId="0" borderId="0"/>
    <xf numFmtId="0" fontId="38" fillId="0" borderId="0" applyNumberFormat="0" applyAlignment="0">
      <alignment horizontal="left"/>
    </xf>
    <xf numFmtId="0" fontId="39" fillId="0" borderId="0" applyNumberFormat="0" applyAlignment="0"/>
    <xf numFmtId="0" fontId="11" fillId="0" borderId="0" applyFont="0" applyFill="0" applyBorder="0" applyAlignment="0" applyProtection="0"/>
    <xf numFmtId="0" fontId="11" fillId="0" borderId="0" applyFont="0" applyFill="0" applyBorder="0" applyAlignment="0" applyProtection="0"/>
    <xf numFmtId="0" fontId="40" fillId="0" borderId="0" applyNumberFormat="0" applyAlignment="0">
      <alignment horizontal="left"/>
    </xf>
    <xf numFmtId="180" fontId="11" fillId="0" borderId="0" applyFont="0" applyFill="0" applyBorder="0" applyAlignment="0" applyProtection="0"/>
    <xf numFmtId="38" fontId="12" fillId="2" borderId="0" applyNumberFormat="0" applyBorder="0" applyAlignment="0" applyProtection="0"/>
    <xf numFmtId="0" fontId="17" fillId="0" borderId="1" applyNumberFormat="0" applyAlignment="0" applyProtection="0">
      <alignment horizontal="left" vertical="center"/>
    </xf>
    <xf numFmtId="0" fontId="17" fillId="0" borderId="2">
      <alignment horizontal="left" vertical="center"/>
    </xf>
    <xf numFmtId="0" fontId="10"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10" fontId="12" fillId="3" borderId="3" applyNumberFormat="0" applyBorder="0" applyAlignment="0" applyProtection="0"/>
    <xf numFmtId="181" fontId="11" fillId="4" borderId="0"/>
    <xf numFmtId="181" fontId="11" fillId="5" borderId="0"/>
    <xf numFmtId="182" fontId="11" fillId="0" borderId="0" applyFont="0" applyFill="0" applyBorder="0" applyAlignment="0" applyProtection="0"/>
    <xf numFmtId="183" fontId="11" fillId="0" borderId="0" applyFont="0" applyFill="0" applyBorder="0" applyAlignment="0" applyProtection="0"/>
    <xf numFmtId="184" fontId="11" fillId="0" borderId="0" applyFont="0" applyFill="0" applyBorder="0" applyAlignment="0" applyProtection="0"/>
    <xf numFmtId="185" fontId="11" fillId="0" borderId="0" applyFont="0" applyFill="0" applyBorder="0" applyAlignment="0" applyProtection="0"/>
    <xf numFmtId="37" fontId="41" fillId="0" borderId="0"/>
    <xf numFmtId="168" fontId="29" fillId="0" borderId="0"/>
    <xf numFmtId="0" fontId="1" fillId="0" borderId="0"/>
    <xf numFmtId="165" fontId="11" fillId="0" borderId="0"/>
    <xf numFmtId="0" fontId="1" fillId="0" borderId="0"/>
    <xf numFmtId="165" fontId="11" fillId="0" borderId="0"/>
    <xf numFmtId="0" fontId="29" fillId="0" borderId="0"/>
    <xf numFmtId="0" fontId="29" fillId="0" borderId="0"/>
    <xf numFmtId="0" fontId="29" fillId="0" borderId="0"/>
    <xf numFmtId="0" fontId="1" fillId="0" borderId="0"/>
    <xf numFmtId="0" fontId="48" fillId="0" borderId="0"/>
    <xf numFmtId="40" fontId="42" fillId="0" borderId="0" applyFont="0" applyFill="0" applyBorder="0" applyAlignment="0" applyProtection="0"/>
    <xf numFmtId="38" fontId="42" fillId="0" borderId="0" applyFont="0" applyFill="0" applyBorder="0" applyAlignment="0" applyProtection="0"/>
    <xf numFmtId="14" fontId="35" fillId="0" borderId="0">
      <alignment horizontal="center" wrapText="1"/>
      <protection locked="0"/>
    </xf>
    <xf numFmtId="10" fontId="29" fillId="0" borderId="0" applyFont="0" applyFill="0" applyBorder="0" applyAlignment="0" applyProtection="0"/>
    <xf numFmtId="9" fontId="1" fillId="0" borderId="0" applyFont="0" applyFill="0" applyBorder="0" applyAlignment="0" applyProtection="0"/>
    <xf numFmtId="186" fontId="29" fillId="0" borderId="0"/>
    <xf numFmtId="0" fontId="43" fillId="0" borderId="0" applyNumberFormat="0" applyFont="0" applyFill="0" applyBorder="0" applyAlignment="0" applyProtection="0">
      <alignment horizontal="left"/>
    </xf>
    <xf numFmtId="187" fontId="29" fillId="0" borderId="0" applyNumberFormat="0" applyFill="0" applyBorder="0" applyAlignment="0" applyProtection="0">
      <alignment horizontal="left"/>
    </xf>
    <xf numFmtId="38" fontId="44" fillId="0" borderId="0"/>
    <xf numFmtId="40" fontId="45" fillId="0" borderId="0" applyBorder="0">
      <alignment horizontal="right"/>
    </xf>
    <xf numFmtId="0" fontId="22" fillId="0" borderId="0"/>
    <xf numFmtId="0" fontId="1" fillId="0" borderId="0"/>
  </cellStyleXfs>
  <cellXfs count="736">
    <xf numFmtId="165" fontId="0" fillId="0" borderId="0" xfId="0"/>
    <xf numFmtId="165" fontId="5" fillId="0" borderId="0" xfId="0" applyFont="1" applyFill="1" applyAlignment="1">
      <alignment vertical="center"/>
    </xf>
    <xf numFmtId="165" fontId="5" fillId="0" borderId="0" xfId="0" applyFont="1" applyFill="1" applyAlignment="1">
      <alignment horizontal="centerContinuous" vertical="center"/>
    </xf>
    <xf numFmtId="165" fontId="5" fillId="0" borderId="0" xfId="0" applyNumberFormat="1" applyFont="1" applyFill="1" applyAlignment="1" applyProtection="1">
      <alignment vertical="center"/>
    </xf>
    <xf numFmtId="165" fontId="5" fillId="0" borderId="0" xfId="0" applyNumberFormat="1" applyFont="1" applyFill="1" applyBorder="1" applyAlignment="1" applyProtection="1">
      <alignment vertical="center"/>
    </xf>
    <xf numFmtId="165" fontId="2" fillId="0" borderId="0" xfId="0" applyNumberFormat="1" applyFont="1" applyFill="1" applyBorder="1" applyAlignment="1" applyProtection="1">
      <alignment horizontal="center" vertical="center"/>
    </xf>
    <xf numFmtId="165" fontId="3" fillId="0" borderId="0" xfId="0" applyFont="1" applyFill="1" applyAlignment="1">
      <alignment vertical="center"/>
    </xf>
    <xf numFmtId="165" fontId="5" fillId="0" borderId="0" xfId="0" applyFont="1" applyFill="1" applyBorder="1" applyAlignment="1">
      <alignment vertical="center"/>
    </xf>
    <xf numFmtId="0" fontId="5" fillId="0" borderId="0" xfId="0" applyNumberFormat="1" applyFont="1" applyFill="1" applyBorder="1" applyAlignment="1">
      <alignment horizontal="center" vertical="center"/>
    </xf>
    <xf numFmtId="0" fontId="5" fillId="0" borderId="0" xfId="0" applyNumberFormat="1" applyFont="1" applyFill="1" applyBorder="1" applyAlignment="1" applyProtection="1">
      <alignment horizontal="center" vertical="center"/>
    </xf>
    <xf numFmtId="0" fontId="5" fillId="0" borderId="0" xfId="0" applyNumberFormat="1" applyFont="1" applyFill="1" applyBorder="1" applyAlignment="1">
      <alignment vertical="center"/>
    </xf>
    <xf numFmtId="0" fontId="5" fillId="0" borderId="0" xfId="0" quotePrefix="1" applyNumberFormat="1" applyFont="1" applyFill="1" applyBorder="1" applyAlignment="1" applyProtection="1">
      <alignment horizontal="left" vertical="center"/>
    </xf>
    <xf numFmtId="10" fontId="5" fillId="0" borderId="0" xfId="45" applyNumberFormat="1" applyFont="1" applyFill="1" applyBorder="1" applyAlignment="1" applyProtection="1">
      <alignment horizontal="center" vertical="center"/>
    </xf>
    <xf numFmtId="165" fontId="2" fillId="0" borderId="0" xfId="0" applyFont="1" applyFill="1" applyAlignment="1">
      <alignment vertical="center"/>
    </xf>
    <xf numFmtId="165" fontId="2" fillId="0" borderId="3" xfId="0" applyFont="1" applyFill="1" applyBorder="1" applyAlignment="1">
      <alignment horizontal="center" vertical="center"/>
    </xf>
    <xf numFmtId="165" fontId="5" fillId="0" borderId="3" xfId="0" applyFont="1" applyFill="1" applyBorder="1" applyAlignment="1">
      <alignment vertical="center"/>
    </xf>
    <xf numFmtId="165" fontId="5" fillId="0" borderId="0" xfId="0" applyFont="1" applyFill="1" applyAlignment="1">
      <alignment horizontal="center" vertical="center"/>
    </xf>
    <xf numFmtId="10" fontId="5" fillId="0" borderId="0" xfId="0" applyNumberFormat="1" applyFont="1" applyFill="1" applyAlignment="1">
      <alignment vertical="center"/>
    </xf>
    <xf numFmtId="10" fontId="5"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horizontal="centerContinuous" vertical="center"/>
    </xf>
    <xf numFmtId="165" fontId="2" fillId="0" borderId="0" xfId="0" applyFont="1" applyFill="1" applyBorder="1" applyAlignment="1">
      <alignment vertical="center"/>
    </xf>
    <xf numFmtId="168" fontId="5" fillId="0" borderId="3" xfId="0" applyNumberFormat="1" applyFont="1" applyFill="1" applyBorder="1" applyAlignment="1">
      <alignment horizontal="center" vertical="center"/>
    </xf>
    <xf numFmtId="165" fontId="5" fillId="0" borderId="0" xfId="0" applyFont="1" applyFill="1" applyBorder="1" applyAlignment="1">
      <alignment horizontal="center" vertical="center"/>
    </xf>
    <xf numFmtId="168" fontId="5" fillId="0" borderId="0" xfId="0" applyNumberFormat="1" applyFont="1" applyFill="1" applyBorder="1" applyAlignment="1">
      <alignment horizontal="center" vertical="center"/>
    </xf>
    <xf numFmtId="170" fontId="5" fillId="0" borderId="0" xfId="0" applyNumberFormat="1" applyFont="1" applyFill="1" applyBorder="1" applyAlignment="1" applyProtection="1">
      <alignment horizontal="center" vertical="center"/>
    </xf>
    <xf numFmtId="166" fontId="5" fillId="0" borderId="3" xfId="0" applyNumberFormat="1" applyFont="1" applyFill="1" applyBorder="1" applyAlignment="1">
      <alignment horizontal="center" vertical="center"/>
    </xf>
    <xf numFmtId="10" fontId="5" fillId="0" borderId="0" xfId="0" applyNumberFormat="1" applyFont="1" applyFill="1" applyBorder="1" applyAlignment="1">
      <alignment vertical="center"/>
    </xf>
    <xf numFmtId="175" fontId="5" fillId="0" borderId="0" xfId="0" applyNumberFormat="1" applyFont="1" applyFill="1" applyAlignment="1">
      <alignment horizontal="center" vertical="center"/>
    </xf>
    <xf numFmtId="2" fontId="5" fillId="0" borderId="0" xfId="33" applyNumberFormat="1" applyFont="1" applyFill="1" applyBorder="1" applyAlignment="1">
      <alignment horizontal="center" vertical="center" wrapText="1"/>
    </xf>
    <xf numFmtId="10" fontId="5" fillId="0" borderId="3" xfId="0" applyNumberFormat="1" applyFont="1" applyFill="1" applyBorder="1" applyAlignment="1">
      <alignment vertical="center"/>
    </xf>
    <xf numFmtId="2" fontId="5" fillId="0" borderId="0" xfId="33" applyNumberFormat="1" applyFont="1" applyFill="1" applyBorder="1" applyAlignment="1">
      <alignment vertical="center"/>
    </xf>
    <xf numFmtId="169" fontId="2" fillId="0" borderId="0" xfId="0" applyNumberFormat="1" applyFont="1" applyFill="1" applyBorder="1" applyAlignment="1" applyProtection="1">
      <alignment horizontal="center" vertical="center"/>
    </xf>
    <xf numFmtId="14" fontId="5" fillId="0" borderId="0" xfId="0" applyNumberFormat="1" applyFont="1" applyFill="1" applyBorder="1" applyAlignment="1">
      <alignment horizontal="center" vertical="center"/>
    </xf>
    <xf numFmtId="165" fontId="5" fillId="0" borderId="3" xfId="0" applyFont="1" applyFill="1" applyBorder="1" applyAlignment="1">
      <alignment horizontal="left" vertical="center"/>
    </xf>
    <xf numFmtId="165" fontId="5" fillId="0" borderId="0" xfId="0" applyFont="1" applyFill="1" applyBorder="1" applyAlignment="1">
      <alignment horizontal="left" vertical="center"/>
    </xf>
    <xf numFmtId="165" fontId="13" fillId="0" borderId="3" xfId="0" applyFont="1" applyBorder="1"/>
    <xf numFmtId="165" fontId="5" fillId="0" borderId="4" xfId="0" applyFont="1" applyFill="1" applyBorder="1" applyAlignment="1">
      <alignment vertical="center"/>
    </xf>
    <xf numFmtId="14" fontId="2" fillId="0" borderId="0" xfId="0" applyNumberFormat="1" applyFont="1" applyFill="1" applyBorder="1" applyAlignment="1">
      <alignment horizontal="left" vertical="center"/>
    </xf>
    <xf numFmtId="168" fontId="5" fillId="0" borderId="3" xfId="0" applyNumberFormat="1" applyFont="1" applyFill="1" applyBorder="1" applyAlignment="1" applyProtection="1">
      <alignment horizontal="center" vertical="center"/>
    </xf>
    <xf numFmtId="4" fontId="5" fillId="0" borderId="0" xfId="0" applyNumberFormat="1" applyFont="1" applyFill="1" applyBorder="1" applyAlignment="1">
      <alignment horizontal="center" vertical="center"/>
    </xf>
    <xf numFmtId="172" fontId="5" fillId="0" borderId="0" xfId="0" applyNumberFormat="1" applyFont="1" applyFill="1" applyBorder="1" applyAlignment="1">
      <alignment horizontal="center" vertical="center"/>
    </xf>
    <xf numFmtId="165" fontId="4" fillId="0" borderId="5" xfId="0" applyFont="1" applyFill="1" applyBorder="1" applyAlignment="1">
      <alignment horizontal="center" vertical="center"/>
    </xf>
    <xf numFmtId="165" fontId="4" fillId="0" borderId="6" xfId="0" applyNumberFormat="1" applyFont="1" applyFill="1" applyBorder="1" applyAlignment="1" applyProtection="1">
      <alignment horizontal="center" vertical="center"/>
    </xf>
    <xf numFmtId="165" fontId="4" fillId="0" borderId="5" xfId="0" applyNumberFormat="1" applyFont="1" applyFill="1" applyBorder="1" applyAlignment="1" applyProtection="1">
      <alignment horizontal="center" vertical="center"/>
    </xf>
    <xf numFmtId="165" fontId="5" fillId="0" borderId="5" xfId="0" applyFont="1" applyFill="1" applyBorder="1" applyAlignment="1">
      <alignment vertical="center"/>
    </xf>
    <xf numFmtId="165" fontId="5" fillId="0" borderId="0" xfId="0" applyFont="1" applyFill="1" applyBorder="1" applyAlignment="1">
      <alignment horizontal="right" vertical="center"/>
    </xf>
    <xf numFmtId="173" fontId="5" fillId="0" borderId="3" xfId="0" applyNumberFormat="1" applyFont="1" applyFill="1" applyBorder="1" applyAlignment="1">
      <alignment horizontal="center" vertical="center"/>
    </xf>
    <xf numFmtId="165" fontId="2" fillId="0" borderId="0" xfId="0" applyNumberFormat="1" applyFont="1" applyFill="1" applyBorder="1" applyAlignment="1" applyProtection="1">
      <alignment horizontal="right" vertical="center"/>
    </xf>
    <xf numFmtId="168" fontId="5" fillId="0" borderId="0" xfId="0" applyNumberFormat="1" applyFont="1" applyFill="1" applyBorder="1" applyAlignment="1" applyProtection="1">
      <alignment horizontal="right" vertical="center"/>
    </xf>
    <xf numFmtId="2" fontId="5" fillId="0" borderId="0" xfId="0" applyNumberFormat="1" applyFont="1" applyFill="1" applyBorder="1" applyAlignment="1" applyProtection="1">
      <alignment horizontal="right" vertical="center"/>
    </xf>
    <xf numFmtId="166" fontId="5" fillId="0" borderId="0" xfId="0" applyNumberFormat="1" applyFont="1" applyFill="1" applyBorder="1" applyAlignment="1">
      <alignment horizontal="right" vertical="center"/>
    </xf>
    <xf numFmtId="165" fontId="2" fillId="0" borderId="4" xfId="0" applyFont="1" applyFill="1" applyBorder="1" applyAlignment="1">
      <alignment horizontal="center" vertical="center"/>
    </xf>
    <xf numFmtId="9" fontId="5" fillId="0" borderId="0" xfId="45" applyFont="1" applyFill="1" applyBorder="1" applyAlignment="1">
      <alignment vertical="center"/>
    </xf>
    <xf numFmtId="165" fontId="2" fillId="0" borderId="3" xfId="0" applyNumberFormat="1" applyFont="1" applyFill="1" applyBorder="1" applyAlignment="1" applyProtection="1">
      <alignment horizontal="center" vertical="center"/>
    </xf>
    <xf numFmtId="10" fontId="5" fillId="0" borderId="3" xfId="45" applyNumberFormat="1" applyFont="1" applyFill="1" applyBorder="1" applyAlignment="1" applyProtection="1">
      <alignment horizontal="center" vertical="center"/>
    </xf>
    <xf numFmtId="165" fontId="5" fillId="0" borderId="3" xfId="0" applyFont="1" applyFill="1" applyBorder="1" applyAlignment="1">
      <alignment horizontal="center" vertical="center"/>
    </xf>
    <xf numFmtId="165" fontId="1" fillId="0" borderId="0" xfId="0" applyFont="1" applyFill="1" applyAlignment="1">
      <alignment vertical="center"/>
    </xf>
    <xf numFmtId="165" fontId="5" fillId="0" borderId="0" xfId="0" applyNumberFormat="1" applyFont="1" applyFill="1" applyBorder="1" applyAlignment="1" applyProtection="1">
      <alignment horizontal="center" vertical="center"/>
    </xf>
    <xf numFmtId="0" fontId="5" fillId="0" borderId="3" xfId="0" applyNumberFormat="1" applyFont="1" applyFill="1" applyBorder="1" applyAlignment="1">
      <alignment horizontal="center" vertical="center"/>
    </xf>
    <xf numFmtId="170" fontId="5" fillId="0" borderId="3" xfId="0" applyNumberFormat="1" applyFont="1" applyFill="1" applyBorder="1" applyAlignment="1">
      <alignment horizontal="center" vertical="center"/>
    </xf>
    <xf numFmtId="10" fontId="5" fillId="0" borderId="7" xfId="45" applyNumberFormat="1" applyFont="1" applyFill="1" applyBorder="1" applyAlignment="1" applyProtection="1">
      <alignment horizontal="center" vertical="center"/>
    </xf>
    <xf numFmtId="10" fontId="5" fillId="0" borderId="4" xfId="45" applyNumberFormat="1" applyFont="1" applyFill="1" applyBorder="1" applyAlignment="1" applyProtection="1">
      <alignment horizontal="center" vertical="center"/>
    </xf>
    <xf numFmtId="165" fontId="2" fillId="0" borderId="8" xfId="0" applyFont="1" applyFill="1" applyBorder="1" applyAlignment="1">
      <alignment horizontal="center" vertical="center"/>
    </xf>
    <xf numFmtId="14" fontId="2" fillId="0" borderId="4" xfId="0" applyNumberFormat="1" applyFont="1" applyFill="1" applyBorder="1" applyAlignment="1">
      <alignment horizontal="left" vertical="center"/>
    </xf>
    <xf numFmtId="165" fontId="7" fillId="0" borderId="3" xfId="0" applyFont="1" applyFill="1" applyBorder="1" applyAlignment="1">
      <alignment vertical="center"/>
    </xf>
    <xf numFmtId="165" fontId="4" fillId="0" borderId="3" xfId="0" applyFont="1" applyFill="1" applyBorder="1" applyAlignment="1">
      <alignment horizontal="center" vertical="center"/>
    </xf>
    <xf numFmtId="165" fontId="4" fillId="0" borderId="3" xfId="0" applyNumberFormat="1" applyFont="1" applyFill="1" applyBorder="1" applyAlignment="1" applyProtection="1">
      <alignment horizontal="center" vertical="center"/>
    </xf>
    <xf numFmtId="165" fontId="4" fillId="0" borderId="2" xfId="0" applyNumberFormat="1" applyFont="1" applyFill="1" applyBorder="1" applyAlignment="1" applyProtection="1">
      <alignment horizontal="center" vertical="center"/>
    </xf>
    <xf numFmtId="165" fontId="2" fillId="0" borderId="8" xfId="0" applyFont="1" applyFill="1" applyBorder="1" applyAlignment="1">
      <alignment vertical="center"/>
    </xf>
    <xf numFmtId="165" fontId="2" fillId="0" borderId="9" xfId="0" applyFont="1" applyFill="1" applyBorder="1" applyAlignment="1">
      <alignment vertical="center"/>
    </xf>
    <xf numFmtId="165" fontId="2" fillId="0" borderId="10" xfId="0" applyFont="1" applyFill="1" applyBorder="1" applyAlignment="1">
      <alignment vertical="center"/>
    </xf>
    <xf numFmtId="165" fontId="5" fillId="0" borderId="8" xfId="0" applyNumberFormat="1" applyFont="1" applyFill="1" applyBorder="1" applyAlignment="1" applyProtection="1">
      <alignment horizontal="left" vertical="center"/>
    </xf>
    <xf numFmtId="165" fontId="5" fillId="0" borderId="10" xfId="0" applyNumberFormat="1" applyFont="1" applyFill="1" applyBorder="1" applyAlignment="1" applyProtection="1">
      <alignment horizontal="left" vertical="center"/>
    </xf>
    <xf numFmtId="14" fontId="5" fillId="0" borderId="8" xfId="0" quotePrefix="1" applyNumberFormat="1" applyFont="1" applyFill="1" applyBorder="1" applyAlignment="1">
      <alignment horizontal="center" vertical="center"/>
    </xf>
    <xf numFmtId="165" fontId="2" fillId="0" borderId="11" xfId="0" applyNumberFormat="1" applyFont="1" applyFill="1" applyBorder="1" applyAlignment="1" applyProtection="1">
      <alignment horizontal="center" vertical="center"/>
    </xf>
    <xf numFmtId="170" fontId="5" fillId="0" borderId="11" xfId="0" applyNumberFormat="1" applyFont="1" applyFill="1" applyBorder="1" applyAlignment="1" applyProtection="1">
      <alignment horizontal="center" vertical="center"/>
    </xf>
    <xf numFmtId="170" fontId="5" fillId="0" borderId="7" xfId="0" applyNumberFormat="1" applyFont="1" applyFill="1" applyBorder="1" applyAlignment="1" applyProtection="1">
      <alignment horizontal="center" vertical="center"/>
    </xf>
    <xf numFmtId="165" fontId="2" fillId="0" borderId="9" xfId="0" applyNumberFormat="1" applyFont="1" applyFill="1" applyBorder="1" applyAlignment="1" applyProtection="1">
      <alignment horizontal="center" vertical="center"/>
    </xf>
    <xf numFmtId="0" fontId="5" fillId="0" borderId="9" xfId="0" applyNumberFormat="1" applyFont="1" applyFill="1" applyBorder="1" applyAlignment="1" applyProtection="1">
      <alignment horizontal="center" vertical="center"/>
    </xf>
    <xf numFmtId="165" fontId="2" fillId="0" borderId="12" xfId="0" applyNumberFormat="1" applyFont="1" applyFill="1" applyBorder="1" applyAlignment="1" applyProtection="1">
      <alignment horizontal="center" vertical="center"/>
    </xf>
    <xf numFmtId="2" fontId="5" fillId="0" borderId="12" xfId="0" applyNumberFormat="1" applyFont="1" applyFill="1" applyBorder="1" applyAlignment="1" applyProtection="1">
      <alignment horizontal="center" vertical="center"/>
    </xf>
    <xf numFmtId="10" fontId="5" fillId="0" borderId="13" xfId="45" applyNumberFormat="1" applyFont="1" applyFill="1" applyBorder="1" applyAlignment="1" applyProtection="1">
      <alignment horizontal="center" vertical="center"/>
    </xf>
    <xf numFmtId="168" fontId="5" fillId="0" borderId="11" xfId="0" applyNumberFormat="1" applyFont="1" applyFill="1" applyBorder="1" applyAlignment="1" applyProtection="1">
      <alignment horizontal="center" vertical="center"/>
    </xf>
    <xf numFmtId="165" fontId="5" fillId="0" borderId="10" xfId="0" applyNumberFormat="1" applyFont="1" applyFill="1" applyBorder="1" applyAlignment="1" applyProtection="1">
      <alignment horizontal="center" vertical="center"/>
    </xf>
    <xf numFmtId="165" fontId="5" fillId="0" borderId="11" xfId="0" applyNumberFormat="1" applyFont="1" applyFill="1" applyBorder="1" applyAlignment="1" applyProtection="1">
      <alignment horizontal="left" vertical="center"/>
    </xf>
    <xf numFmtId="165" fontId="5" fillId="0" borderId="7" xfId="0" applyNumberFormat="1" applyFont="1" applyFill="1" applyBorder="1" applyAlignment="1" applyProtection="1">
      <alignment horizontal="left" vertical="center"/>
    </xf>
    <xf numFmtId="0" fontId="5" fillId="0" borderId="3" xfId="0" applyNumberFormat="1" applyFont="1" applyFill="1" applyBorder="1" applyAlignment="1">
      <alignment horizontal="left" vertical="center"/>
    </xf>
    <xf numFmtId="165" fontId="2" fillId="0" borderId="5" xfId="0" applyFont="1" applyFill="1" applyBorder="1" applyAlignment="1">
      <alignment horizontal="center" vertical="center"/>
    </xf>
    <xf numFmtId="10" fontId="5" fillId="0" borderId="11" xfId="0" applyNumberFormat="1" applyFont="1" applyFill="1" applyBorder="1" applyAlignment="1">
      <alignment horizontal="center" vertical="center"/>
    </xf>
    <xf numFmtId="168" fontId="6" fillId="0" borderId="14" xfId="0" applyNumberFormat="1" applyFont="1" applyFill="1" applyBorder="1" applyAlignment="1">
      <alignment horizontal="center" vertical="center"/>
    </xf>
    <xf numFmtId="168" fontId="6" fillId="0" borderId="14" xfId="0" applyNumberFormat="1" applyFont="1" applyFill="1" applyBorder="1" applyAlignment="1" applyProtection="1">
      <alignment horizontal="center" vertical="center"/>
    </xf>
    <xf numFmtId="168" fontId="6" fillId="0" borderId="7" xfId="0" applyNumberFormat="1" applyFont="1" applyFill="1" applyBorder="1" applyAlignment="1" applyProtection="1">
      <alignment horizontal="center" vertical="center"/>
    </xf>
    <xf numFmtId="165" fontId="6" fillId="0" borderId="15" xfId="0" applyFont="1" applyFill="1" applyBorder="1" applyAlignment="1">
      <alignment horizontal="center" vertical="center"/>
    </xf>
    <xf numFmtId="167" fontId="6" fillId="0" borderId="15" xfId="0" applyNumberFormat="1" applyFont="1" applyFill="1" applyBorder="1" applyAlignment="1" applyProtection="1">
      <alignment horizontal="center" vertical="center"/>
      <protection locked="0"/>
    </xf>
    <xf numFmtId="167" fontId="6" fillId="0" borderId="10" xfId="0" applyNumberFormat="1" applyFont="1" applyFill="1" applyBorder="1" applyAlignment="1" applyProtection="1">
      <alignment horizontal="center" vertical="center"/>
      <protection locked="0"/>
    </xf>
    <xf numFmtId="165" fontId="5" fillId="0" borderId="8" xfId="0" applyNumberFormat="1" applyFont="1" applyFill="1" applyBorder="1" applyAlignment="1" applyProtection="1">
      <alignment horizontal="center" vertical="center"/>
    </xf>
    <xf numFmtId="165" fontId="5" fillId="0" borderId="15" xfId="0" applyNumberFormat="1" applyFont="1" applyFill="1" applyBorder="1" applyAlignment="1" applyProtection="1">
      <alignment horizontal="center" vertical="center"/>
    </xf>
    <xf numFmtId="167" fontId="6" fillId="0" borderId="15" xfId="0" applyNumberFormat="1" applyFont="1" applyFill="1" applyBorder="1" applyAlignment="1" applyProtection="1">
      <alignment horizontal="center" vertical="center"/>
    </xf>
    <xf numFmtId="168" fontId="5" fillId="0" borderId="14" xfId="0" applyNumberFormat="1" applyFont="1" applyFill="1" applyBorder="1" applyAlignment="1" applyProtection="1">
      <alignment horizontal="center" vertical="center"/>
    </xf>
    <xf numFmtId="167" fontId="6" fillId="0" borderId="14" xfId="0" applyNumberFormat="1" applyFont="1" applyFill="1" applyBorder="1" applyAlignment="1" applyProtection="1">
      <alignment horizontal="center" vertical="center"/>
    </xf>
    <xf numFmtId="15" fontId="9" fillId="0" borderId="5" xfId="0" applyNumberFormat="1" applyFont="1" applyFill="1" applyBorder="1" applyAlignment="1" applyProtection="1">
      <alignment horizontal="center" vertical="center" wrapText="1"/>
    </xf>
    <xf numFmtId="15" fontId="9" fillId="0" borderId="3" xfId="0" applyNumberFormat="1" applyFont="1" applyFill="1" applyBorder="1" applyAlignment="1" applyProtection="1">
      <alignment horizontal="center" vertical="center" wrapText="1"/>
    </xf>
    <xf numFmtId="167" fontId="6" fillId="0" borderId="8" xfId="0" applyNumberFormat="1" applyFont="1" applyFill="1" applyBorder="1" applyAlignment="1" applyProtection="1">
      <alignment horizontal="center" vertical="center"/>
    </xf>
    <xf numFmtId="168" fontId="6" fillId="0" borderId="11" xfId="0" applyNumberFormat="1" applyFont="1" applyFill="1" applyBorder="1" applyAlignment="1" applyProtection="1">
      <alignment horizontal="center" vertical="center"/>
    </xf>
    <xf numFmtId="176" fontId="5" fillId="0" borderId="0" xfId="0" applyNumberFormat="1" applyFont="1" applyFill="1" applyBorder="1" applyAlignment="1">
      <alignment vertical="center"/>
    </xf>
    <xf numFmtId="0" fontId="1" fillId="0" borderId="0" xfId="34"/>
    <xf numFmtId="1" fontId="1" fillId="0" borderId="0" xfId="45" applyNumberFormat="1" applyFont="1" applyFill="1" applyBorder="1" applyAlignment="1">
      <alignment horizontal="center" vertical="center" wrapText="1"/>
    </xf>
    <xf numFmtId="1" fontId="1" fillId="0" borderId="0" xfId="45" applyNumberFormat="1" applyFont="1" applyFill="1" applyBorder="1" applyAlignment="1">
      <alignment horizontal="center"/>
    </xf>
    <xf numFmtId="1" fontId="1" fillId="0" borderId="0" xfId="45" applyNumberFormat="1" applyFill="1" applyBorder="1" applyAlignment="1">
      <alignment horizontal="center"/>
    </xf>
    <xf numFmtId="1" fontId="1" fillId="0" borderId="0" xfId="45" applyNumberFormat="1" applyFill="1"/>
    <xf numFmtId="1" fontId="3" fillId="0" borderId="0" xfId="45" applyNumberFormat="1" applyFont="1" applyFill="1" applyBorder="1" applyAlignment="1">
      <alignment horizontal="center" vertical="center" wrapText="1"/>
    </xf>
    <xf numFmtId="1" fontId="1" fillId="0" borderId="0" xfId="45" applyNumberFormat="1"/>
    <xf numFmtId="165" fontId="3" fillId="0" borderId="0" xfId="0" applyFont="1" applyFill="1" applyBorder="1" applyAlignment="1">
      <alignment horizontal="left" vertical="center"/>
    </xf>
    <xf numFmtId="165" fontId="3" fillId="0" borderId="0" xfId="0" applyFont="1" applyFill="1" applyBorder="1" applyAlignment="1">
      <alignment horizontal="left" vertical="center" wrapText="1"/>
    </xf>
    <xf numFmtId="14" fontId="5" fillId="0" borderId="10" xfId="0" quotePrefix="1" applyNumberFormat="1" applyFont="1" applyFill="1" applyBorder="1" applyAlignment="1" applyProtection="1">
      <alignment horizontal="center" vertical="center"/>
      <protection locked="0"/>
    </xf>
    <xf numFmtId="169" fontId="5" fillId="0" borderId="7" xfId="0" applyNumberFormat="1" applyFont="1" applyFill="1" applyBorder="1" applyAlignment="1" applyProtection="1">
      <alignment horizontal="center" vertical="center"/>
    </xf>
    <xf numFmtId="168" fontId="5" fillId="0" borderId="0" xfId="0" applyNumberFormat="1" applyFont="1" applyFill="1" applyAlignment="1">
      <alignment horizontal="center" vertical="center"/>
    </xf>
    <xf numFmtId="169" fontId="5" fillId="0" borderId="11" xfId="0" applyNumberFormat="1" applyFont="1" applyFill="1" applyBorder="1" applyAlignment="1" applyProtection="1">
      <alignment horizontal="center" vertical="center"/>
    </xf>
    <xf numFmtId="165" fontId="22" fillId="0" borderId="3" xfId="0" applyFont="1" applyBorder="1" applyAlignment="1">
      <alignment horizontal="center" vertical="center" wrapText="1"/>
    </xf>
    <xf numFmtId="165" fontId="22" fillId="0" borderId="11" xfId="0" applyFont="1" applyBorder="1" applyAlignment="1">
      <alignment horizontal="center" vertical="center" wrapText="1"/>
    </xf>
    <xf numFmtId="168" fontId="22" fillId="0" borderId="3" xfId="0" applyNumberFormat="1" applyFont="1" applyBorder="1" applyAlignment="1">
      <alignment horizontal="center" vertical="center" wrapText="1"/>
    </xf>
    <xf numFmtId="165" fontId="25" fillId="0" borderId="3" xfId="0" applyFont="1" applyBorder="1" applyAlignment="1">
      <alignment horizontal="center" vertical="center" wrapText="1"/>
    </xf>
    <xf numFmtId="165" fontId="26" fillId="0" borderId="3" xfId="0" applyFont="1" applyBorder="1" applyAlignment="1">
      <alignment horizontal="center" vertical="center" wrapText="1"/>
    </xf>
    <xf numFmtId="165" fontId="24" fillId="0" borderId="3" xfId="0" applyFont="1" applyBorder="1" applyAlignment="1">
      <alignment horizontal="center" vertical="center" wrapText="1"/>
    </xf>
    <xf numFmtId="165" fontId="27" fillId="0" borderId="0" xfId="0" applyFont="1" applyAlignment="1">
      <alignment vertical="center"/>
    </xf>
    <xf numFmtId="165" fontId="23" fillId="0" borderId="3" xfId="0" applyFont="1" applyBorder="1" applyAlignment="1">
      <alignment vertical="center"/>
    </xf>
    <xf numFmtId="165" fontId="25" fillId="0" borderId="11" xfId="0" applyFont="1" applyBorder="1" applyAlignment="1">
      <alignment horizontal="center" vertical="center" wrapText="1"/>
    </xf>
    <xf numFmtId="168" fontId="22" fillId="2" borderId="3" xfId="0" applyNumberFormat="1" applyFont="1" applyFill="1" applyBorder="1" applyAlignment="1">
      <alignment horizontal="center" vertical="center" wrapText="1"/>
    </xf>
    <xf numFmtId="165" fontId="24" fillId="2" borderId="3" xfId="0" applyFont="1" applyFill="1" applyBorder="1" applyAlignment="1">
      <alignment horizontal="center" vertical="center" wrapText="1"/>
    </xf>
    <xf numFmtId="168" fontId="5" fillId="0" borderId="7" xfId="0" applyNumberFormat="1" applyFont="1" applyFill="1" applyBorder="1" applyAlignment="1" applyProtection="1">
      <alignment horizontal="center" vertical="center"/>
    </xf>
    <xf numFmtId="165" fontId="1" fillId="0" borderId="15" xfId="0" applyNumberFormat="1" applyFont="1" applyFill="1" applyBorder="1" applyAlignment="1" applyProtection="1">
      <alignment horizontal="left" vertical="center"/>
    </xf>
    <xf numFmtId="165" fontId="3" fillId="0" borderId="5" xfId="0" applyFont="1" applyFill="1" applyBorder="1" applyAlignment="1">
      <alignment horizontal="center" vertical="center"/>
    </xf>
    <xf numFmtId="10" fontId="9" fillId="0" borderId="3" xfId="0" applyNumberFormat="1" applyFont="1" applyFill="1" applyBorder="1" applyAlignment="1">
      <alignment horizontal="center" vertical="center"/>
    </xf>
    <xf numFmtId="165" fontId="3" fillId="0" borderId="8" xfId="0" quotePrefix="1" applyNumberFormat="1" applyFont="1" applyFill="1" applyBorder="1" applyAlignment="1" applyProtection="1">
      <alignment horizontal="left" vertical="center"/>
    </xf>
    <xf numFmtId="165" fontId="3" fillId="0" borderId="15" xfId="0" quotePrefix="1" applyNumberFormat="1" applyFont="1" applyFill="1" applyBorder="1" applyAlignment="1" applyProtection="1">
      <alignment horizontal="left" vertical="center"/>
    </xf>
    <xf numFmtId="165" fontId="1" fillId="0" borderId="15" xfId="0" quotePrefix="1" applyNumberFormat="1" applyFont="1" applyFill="1" applyBorder="1" applyAlignment="1" applyProtection="1">
      <alignment horizontal="left" vertical="center"/>
    </xf>
    <xf numFmtId="10" fontId="6" fillId="0" borderId="14" xfId="0" applyNumberFormat="1" applyFont="1" applyFill="1" applyBorder="1" applyAlignment="1" applyProtection="1">
      <alignment horizontal="center" vertical="center"/>
    </xf>
    <xf numFmtId="165" fontId="1" fillId="0" borderId="15" xfId="0" applyNumberFormat="1" applyFont="1" applyFill="1" applyBorder="1" applyAlignment="1" applyProtection="1">
      <alignment horizontal="left" vertical="center" indent="1"/>
    </xf>
    <xf numFmtId="165" fontId="1" fillId="0" borderId="15" xfId="0" quotePrefix="1" applyNumberFormat="1" applyFont="1" applyFill="1" applyBorder="1" applyAlignment="1" applyProtection="1">
      <alignment horizontal="left" vertical="center" indent="1"/>
    </xf>
    <xf numFmtId="10" fontId="6" fillId="0" borderId="7" xfId="0" applyNumberFormat="1" applyFont="1" applyFill="1" applyBorder="1" applyAlignment="1" applyProtection="1">
      <alignment horizontal="center" vertical="center"/>
    </xf>
    <xf numFmtId="165" fontId="3" fillId="0" borderId="10" xfId="0" quotePrefix="1" applyNumberFormat="1" applyFont="1" applyFill="1" applyBorder="1" applyAlignment="1" applyProtection="1">
      <alignment horizontal="left" vertical="center"/>
    </xf>
    <xf numFmtId="165" fontId="13" fillId="0" borderId="15" xfId="0" applyNumberFormat="1" applyFont="1" applyFill="1" applyBorder="1" applyAlignment="1" applyProtection="1">
      <alignment horizontal="left" vertical="center"/>
    </xf>
    <xf numFmtId="170" fontId="5" fillId="0" borderId="16" xfId="0" applyNumberFormat="1" applyFont="1" applyFill="1" applyBorder="1" applyAlignment="1" applyProtection="1">
      <alignment horizontal="center" vertical="center"/>
    </xf>
    <xf numFmtId="169" fontId="5" fillId="0" borderId="16" xfId="0" applyNumberFormat="1" applyFont="1" applyFill="1" applyBorder="1" applyAlignment="1" applyProtection="1">
      <alignment horizontal="center" vertical="center"/>
    </xf>
    <xf numFmtId="172" fontId="2" fillId="0" borderId="0" xfId="0" applyNumberFormat="1" applyFont="1" applyFill="1" applyBorder="1" applyAlignment="1">
      <alignment horizontal="center" vertical="center"/>
    </xf>
    <xf numFmtId="0" fontId="2" fillId="0" borderId="0" xfId="0" applyNumberFormat="1" applyFont="1" applyFill="1" applyBorder="1" applyAlignment="1" applyProtection="1">
      <alignment vertical="center"/>
    </xf>
    <xf numFmtId="165" fontId="0" fillId="0" borderId="0" xfId="0" applyBorder="1"/>
    <xf numFmtId="170" fontId="5" fillId="0" borderId="0" xfId="0" applyNumberFormat="1" applyFont="1" applyFill="1" applyBorder="1" applyAlignment="1" applyProtection="1">
      <alignment horizontal="center" vertical="center"/>
      <protection locked="0"/>
    </xf>
    <xf numFmtId="0" fontId="29" fillId="0" borderId="0" xfId="37"/>
    <xf numFmtId="9" fontId="29" fillId="0" borderId="0" xfId="37" applyNumberFormat="1"/>
    <xf numFmtId="0" fontId="29" fillId="0" borderId="3" xfId="37" applyBorder="1"/>
    <xf numFmtId="0" fontId="3" fillId="0" borderId="3" xfId="37" applyFont="1" applyBorder="1"/>
    <xf numFmtId="0" fontId="3" fillId="0" borderId="3" xfId="37" applyFont="1" applyBorder="1" applyAlignment="1">
      <alignment horizontal="center"/>
    </xf>
    <xf numFmtId="164" fontId="29" fillId="0" borderId="3" xfId="37" applyNumberFormat="1" applyFill="1" applyBorder="1" applyAlignment="1">
      <alignment horizontal="center"/>
    </xf>
    <xf numFmtId="0" fontId="29" fillId="0" borderId="11" xfId="37" applyBorder="1"/>
    <xf numFmtId="0" fontId="29" fillId="0" borderId="14" xfId="37" applyBorder="1"/>
    <xf numFmtId="0" fontId="29" fillId="0" borderId="7" xfId="37" applyBorder="1"/>
    <xf numFmtId="0" fontId="3" fillId="0" borderId="3" xfId="37" applyFont="1" applyBorder="1" applyAlignment="1">
      <alignment horizontal="center" wrapText="1"/>
    </xf>
    <xf numFmtId="164" fontId="1" fillId="0" borderId="3" xfId="37" applyNumberFormat="1" applyFont="1" applyFill="1" applyBorder="1" applyAlignment="1">
      <alignment horizontal="center"/>
    </xf>
    <xf numFmtId="0" fontId="29" fillId="0" borderId="11" xfId="37" applyBorder="1" applyAlignment="1">
      <alignment horizontal="center"/>
    </xf>
    <xf numFmtId="165" fontId="5" fillId="0" borderId="7" xfId="0" applyFont="1" applyFill="1" applyBorder="1" applyAlignment="1">
      <alignment horizontal="center" vertical="center"/>
    </xf>
    <xf numFmtId="0" fontId="29" fillId="0" borderId="3" xfId="37" applyBorder="1" applyAlignment="1">
      <alignment horizontal="center"/>
    </xf>
    <xf numFmtId="0" fontId="29" fillId="0" borderId="3" xfId="37" applyFont="1" applyBorder="1"/>
    <xf numFmtId="165" fontId="2" fillId="0" borderId="0" xfId="0" applyNumberFormat="1" applyFont="1" applyFill="1" applyBorder="1" applyAlignment="1" applyProtection="1">
      <alignment horizontal="left" vertical="center"/>
    </xf>
    <xf numFmtId="168" fontId="29" fillId="0" borderId="3" xfId="37" applyNumberFormat="1" applyBorder="1" applyAlignment="1">
      <alignment horizontal="center"/>
    </xf>
    <xf numFmtId="14" fontId="5" fillId="0" borderId="11" xfId="0" quotePrefix="1" applyNumberFormat="1" applyFont="1" applyFill="1" applyBorder="1" applyAlignment="1">
      <alignment horizontal="center" vertical="center"/>
    </xf>
    <xf numFmtId="165" fontId="5" fillId="0" borderId="11" xfId="0" applyFont="1" applyFill="1" applyBorder="1" applyAlignment="1">
      <alignment horizontal="center" vertical="center"/>
    </xf>
    <xf numFmtId="14" fontId="5" fillId="0" borderId="7" xfId="0" quotePrefix="1" applyNumberFormat="1" applyFont="1" applyFill="1" applyBorder="1" applyAlignment="1">
      <alignment horizontal="center" vertical="center"/>
    </xf>
    <xf numFmtId="165" fontId="5" fillId="0" borderId="0" xfId="0" quotePrefix="1" applyFont="1" applyFill="1" applyAlignment="1">
      <alignment horizontal="center" vertical="center"/>
    </xf>
    <xf numFmtId="165" fontId="24" fillId="7" borderId="3" xfId="0" applyFont="1" applyFill="1" applyBorder="1" applyAlignment="1">
      <alignment horizontal="center" vertical="center" wrapText="1"/>
    </xf>
    <xf numFmtId="168" fontId="5" fillId="0" borderId="0" xfId="0" applyNumberFormat="1" applyFont="1" applyFill="1" applyAlignment="1">
      <alignment vertical="center"/>
    </xf>
    <xf numFmtId="164" fontId="5" fillId="0" borderId="0" xfId="45" applyNumberFormat="1" applyFont="1" applyFill="1" applyAlignment="1">
      <alignment vertical="center"/>
    </xf>
    <xf numFmtId="0" fontId="3" fillId="0" borderId="11" xfId="38" applyFont="1" applyBorder="1"/>
    <xf numFmtId="0" fontId="3" fillId="0" borderId="11" xfId="38" applyFont="1" applyBorder="1" applyAlignment="1">
      <alignment horizontal="center"/>
    </xf>
    <xf numFmtId="0" fontId="29" fillId="0" borderId="0" xfId="38"/>
    <xf numFmtId="0" fontId="3" fillId="0" borderId="7" xfId="38" applyFont="1" applyBorder="1"/>
    <xf numFmtId="0" fontId="3" fillId="0" borderId="7" xfId="38" applyFont="1" applyBorder="1" applyAlignment="1">
      <alignment horizontal="center"/>
    </xf>
    <xf numFmtId="0" fontId="29" fillId="0" borderId="3" xfId="38" applyFont="1" applyBorder="1" applyAlignment="1">
      <alignment horizontal="justify"/>
    </xf>
    <xf numFmtId="0" fontId="29" fillId="0" borderId="0" xfId="38" applyFont="1"/>
    <xf numFmtId="14" fontId="5" fillId="6" borderId="10" xfId="0" quotePrefix="1" applyNumberFormat="1" applyFont="1" applyFill="1" applyBorder="1" applyAlignment="1" applyProtection="1">
      <alignment horizontal="center" vertical="center"/>
      <protection locked="0"/>
    </xf>
    <xf numFmtId="14" fontId="5" fillId="0" borderId="8" xfId="0" applyNumberFormat="1" applyFont="1" applyFill="1" applyBorder="1" applyAlignment="1">
      <alignment horizontal="center" vertical="center"/>
    </xf>
    <xf numFmtId="0" fontId="5" fillId="0" borderId="0" xfId="36" applyFont="1" applyFill="1" applyAlignment="1">
      <alignment vertical="center"/>
    </xf>
    <xf numFmtId="0" fontId="29" fillId="0" borderId="0" xfId="36"/>
    <xf numFmtId="0" fontId="3" fillId="0" borderId="0" xfId="36" applyFont="1"/>
    <xf numFmtId="0" fontId="29" fillId="0" borderId="5" xfId="36" applyBorder="1" applyAlignment="1">
      <alignment horizontal="centerContinuous"/>
    </xf>
    <xf numFmtId="0" fontId="29" fillId="0" borderId="3" xfId="36" applyBorder="1" applyAlignment="1">
      <alignment horizontal="centerContinuous"/>
    </xf>
    <xf numFmtId="17" fontId="29" fillId="0" borderId="3" xfId="36" applyNumberFormat="1" applyBorder="1" applyAlignment="1">
      <alignment horizontal="centerContinuous"/>
    </xf>
    <xf numFmtId="0" fontId="2" fillId="0" borderId="3" xfId="36" applyFont="1" applyBorder="1" applyAlignment="1">
      <alignment horizontal="center"/>
    </xf>
    <xf numFmtId="0" fontId="3" fillId="0" borderId="3" xfId="39" applyFont="1" applyBorder="1" applyAlignment="1">
      <alignment horizontal="center"/>
    </xf>
    <xf numFmtId="169" fontId="3" fillId="0" borderId="3" xfId="39" applyNumberFormat="1" applyFont="1" applyBorder="1" applyAlignment="1">
      <alignment horizontal="center"/>
    </xf>
    <xf numFmtId="0" fontId="29" fillId="0" borderId="3" xfId="36" applyBorder="1"/>
    <xf numFmtId="0" fontId="29" fillId="0" borderId="3" xfId="36" applyBorder="1" applyAlignment="1">
      <alignment horizontal="center"/>
    </xf>
    <xf numFmtId="165" fontId="11" fillId="0" borderId="3" xfId="35" applyBorder="1"/>
    <xf numFmtId="0" fontId="1" fillId="0" borderId="3" xfId="39" applyBorder="1"/>
    <xf numFmtId="0" fontId="29" fillId="0" borderId="0" xfId="36" applyAlignment="1">
      <alignment horizontal="center"/>
    </xf>
    <xf numFmtId="165" fontId="2" fillId="0" borderId="7" xfId="1" applyNumberFormat="1" applyFont="1" applyBorder="1" applyAlignment="1">
      <alignment horizontal="center" vertical="center"/>
    </xf>
    <xf numFmtId="165" fontId="13" fillId="0" borderId="0" xfId="1" applyNumberFormat="1" applyFont="1" applyFill="1" applyBorder="1" applyAlignment="1">
      <alignment vertical="center" wrapText="1"/>
    </xf>
    <xf numFmtId="165" fontId="17" fillId="2" borderId="4" xfId="1" applyNumberFormat="1" applyFont="1" applyFill="1" applyBorder="1" applyAlignment="1">
      <alignment vertical="center"/>
    </xf>
    <xf numFmtId="165" fontId="13" fillId="0" borderId="3" xfId="0" applyFont="1" applyBorder="1" applyAlignment="1">
      <alignment horizontal="center"/>
    </xf>
    <xf numFmtId="0" fontId="5" fillId="0" borderId="3" xfId="0" applyNumberFormat="1" applyFont="1" applyFill="1" applyBorder="1" applyAlignment="1" applyProtection="1">
      <alignment horizontal="center" vertical="center"/>
      <protection locked="0"/>
    </xf>
    <xf numFmtId="168" fontId="5" fillId="0" borderId="6" xfId="0" applyNumberFormat="1" applyFont="1" applyFill="1" applyBorder="1" applyAlignment="1" applyProtection="1">
      <alignment horizontal="center" vertical="center"/>
      <protection locked="0"/>
    </xf>
    <xf numFmtId="168" fontId="5" fillId="0" borderId="5" xfId="0" applyNumberFormat="1" applyFont="1" applyFill="1" applyBorder="1" applyAlignment="1" applyProtection="1">
      <alignment horizontal="center" vertical="center"/>
      <protection locked="0"/>
    </xf>
    <xf numFmtId="168" fontId="5" fillId="0" borderId="5" xfId="0" applyNumberFormat="1" applyFont="1" applyFill="1" applyBorder="1" applyAlignment="1" applyProtection="1">
      <alignment horizontal="center" vertical="center"/>
    </xf>
    <xf numFmtId="2" fontId="5" fillId="0" borderId="2" xfId="0" applyNumberFormat="1" applyFont="1" applyFill="1" applyBorder="1" applyAlignment="1" applyProtection="1">
      <alignment horizontal="center" vertical="center"/>
      <protection locked="0"/>
    </xf>
    <xf numFmtId="2" fontId="5" fillId="0" borderId="3" xfId="0" applyNumberFormat="1" applyFont="1" applyFill="1" applyBorder="1" applyAlignment="1" applyProtection="1">
      <alignment horizontal="center" vertical="center"/>
      <protection locked="0"/>
    </xf>
    <xf numFmtId="168" fontId="5" fillId="0" borderId="0" xfId="45" applyNumberFormat="1" applyFont="1" applyFill="1" applyAlignment="1">
      <alignment horizontal="center" vertical="center"/>
    </xf>
    <xf numFmtId="164" fontId="5" fillId="0" borderId="0" xfId="45" applyNumberFormat="1" applyFont="1" applyFill="1" applyAlignment="1">
      <alignment horizontal="center" vertical="center"/>
    </xf>
    <xf numFmtId="168" fontId="0" fillId="0" borderId="0" xfId="0" applyNumberFormat="1"/>
    <xf numFmtId="165" fontId="33" fillId="0" borderId="4" xfId="0" applyFont="1" applyBorder="1"/>
    <xf numFmtId="165" fontId="0" fillId="0" borderId="4" xfId="0" applyBorder="1"/>
    <xf numFmtId="165" fontId="3" fillId="0" borderId="3" xfId="0" applyFont="1" applyBorder="1" applyAlignment="1">
      <alignment horizontal="center" vertical="center"/>
    </xf>
    <xf numFmtId="165" fontId="3" fillId="0" borderId="3" xfId="0" applyFont="1" applyFill="1" applyBorder="1" applyAlignment="1">
      <alignment horizontal="center" vertical="center"/>
    </xf>
    <xf numFmtId="165" fontId="0" fillId="0" borderId="3" xfId="0" applyBorder="1" applyAlignment="1">
      <alignment horizontal="center"/>
    </xf>
    <xf numFmtId="168" fontId="0" fillId="0" borderId="3" xfId="0" applyNumberFormat="1" applyBorder="1" applyAlignment="1">
      <alignment horizontal="center"/>
    </xf>
    <xf numFmtId="165" fontId="0" fillId="0" borderId="0" xfId="0" applyNumberFormat="1" applyBorder="1"/>
    <xf numFmtId="165" fontId="47" fillId="0" borderId="11" xfId="0" applyFont="1" applyFill="1" applyBorder="1" applyAlignment="1">
      <alignment horizontal="center"/>
    </xf>
    <xf numFmtId="165" fontId="47" fillId="0" borderId="8" xfId="0" applyFont="1" applyFill="1" applyBorder="1" applyAlignment="1">
      <alignment horizontal="center"/>
    </xf>
    <xf numFmtId="188" fontId="47" fillId="0" borderId="9" xfId="0" applyNumberFormat="1" applyFont="1" applyFill="1" applyBorder="1" applyAlignment="1">
      <alignment horizontal="center" wrapText="1"/>
    </xf>
    <xf numFmtId="188" fontId="47" fillId="0" borderId="11" xfId="0" applyNumberFormat="1" applyFont="1" applyFill="1" applyBorder="1" applyAlignment="1">
      <alignment horizontal="center" wrapText="1"/>
    </xf>
    <xf numFmtId="165" fontId="47" fillId="0" borderId="7" xfId="0" applyFont="1" applyFill="1" applyBorder="1" applyAlignment="1">
      <alignment horizontal="center"/>
    </xf>
    <xf numFmtId="165" fontId="47" fillId="0" borderId="10" xfId="0" applyFont="1" applyFill="1" applyBorder="1" applyAlignment="1">
      <alignment horizontal="center"/>
    </xf>
    <xf numFmtId="188" fontId="47" fillId="0" borderId="4" xfId="0" applyNumberFormat="1" applyFont="1" applyFill="1" applyBorder="1" applyAlignment="1">
      <alignment horizontal="center" wrapText="1"/>
    </xf>
    <xf numFmtId="188" fontId="47" fillId="0" borderId="7" xfId="0" applyNumberFormat="1" applyFont="1" applyFill="1" applyBorder="1" applyAlignment="1">
      <alignment horizontal="center" wrapText="1"/>
    </xf>
    <xf numFmtId="165" fontId="0" fillId="0" borderId="17" xfId="0" applyBorder="1" applyAlignment="1">
      <alignment horizontal="center"/>
    </xf>
    <xf numFmtId="165" fontId="0" fillId="0" borderId="18" xfId="0" applyBorder="1" applyAlignment="1">
      <alignment horizontal="center"/>
    </xf>
    <xf numFmtId="188" fontId="0" fillId="0" borderId="0" xfId="0" applyNumberFormat="1" applyBorder="1"/>
    <xf numFmtId="165" fontId="0" fillId="0" borderId="19" xfId="0" applyBorder="1" applyAlignment="1">
      <alignment horizontal="center"/>
    </xf>
    <xf numFmtId="165" fontId="0" fillId="0" borderId="20" xfId="0" applyBorder="1" applyAlignment="1">
      <alignment horizontal="center"/>
    </xf>
    <xf numFmtId="165" fontId="0" fillId="0" borderId="21" xfId="0" applyBorder="1" applyAlignment="1">
      <alignment horizontal="center"/>
    </xf>
    <xf numFmtId="165" fontId="0" fillId="0" borderId="0" xfId="0" applyBorder="1" applyAlignment="1">
      <alignment horizontal="center"/>
    </xf>
    <xf numFmtId="188" fontId="0" fillId="0" borderId="0" xfId="0" applyNumberFormat="1" applyBorder="1" applyAlignment="1"/>
    <xf numFmtId="168" fontId="0" fillId="0" borderId="0" xfId="0" applyNumberFormat="1" applyBorder="1" applyAlignment="1">
      <alignment horizontal="center"/>
    </xf>
    <xf numFmtId="167" fontId="0" fillId="0" borderId="0" xfId="0" applyNumberFormat="1" applyBorder="1" applyAlignment="1">
      <alignment horizontal="center"/>
    </xf>
    <xf numFmtId="165" fontId="2" fillId="0" borderId="0" xfId="1" applyNumberFormat="1" applyFont="1" applyBorder="1" applyAlignment="1">
      <alignment horizontal="left" vertical="center"/>
    </xf>
    <xf numFmtId="165" fontId="0" fillId="0" borderId="0" xfId="0" applyAlignment="1">
      <alignment wrapText="1"/>
    </xf>
    <xf numFmtId="165" fontId="3" fillId="0" borderId="3" xfId="0" applyFont="1" applyBorder="1" applyAlignment="1">
      <alignment horizontal="center" wrapText="1"/>
    </xf>
    <xf numFmtId="165" fontId="3" fillId="0" borderId="3" xfId="0" applyFont="1" applyBorder="1" applyAlignment="1">
      <alignment horizontal="center" vertical="center" wrapText="1"/>
    </xf>
    <xf numFmtId="165" fontId="13" fillId="0" borderId="0" xfId="1" applyNumberFormat="1" applyFont="1" applyFill="1" applyAlignment="1">
      <alignment vertical="center"/>
    </xf>
    <xf numFmtId="0" fontId="22" fillId="0" borderId="3" xfId="40" applyFont="1" applyBorder="1" applyAlignment="1">
      <alignment horizontal="center" wrapText="1"/>
    </xf>
    <xf numFmtId="0" fontId="5" fillId="0" borderId="3" xfId="40" applyFont="1" applyBorder="1"/>
    <xf numFmtId="0" fontId="49" fillId="0" borderId="3" xfId="40" applyFont="1" applyBorder="1" applyAlignment="1">
      <alignment horizontal="center" vertical="top" wrapText="1"/>
    </xf>
    <xf numFmtId="165" fontId="0" fillId="0" borderId="0" xfId="0" applyAlignment="1">
      <alignment horizontal="center"/>
    </xf>
    <xf numFmtId="165" fontId="3" fillId="0" borderId="0" xfId="0" applyFont="1"/>
    <xf numFmtId="174" fontId="29" fillId="0" borderId="0" xfId="36" applyNumberFormat="1"/>
    <xf numFmtId="189" fontId="0" fillId="0" borderId="0" xfId="0" applyNumberFormat="1"/>
    <xf numFmtId="170" fontId="0" fillId="0" borderId="0" xfId="0" applyNumberFormat="1"/>
    <xf numFmtId="0" fontId="1" fillId="0" borderId="3" xfId="37" applyFont="1" applyBorder="1"/>
    <xf numFmtId="165" fontId="3" fillId="0" borderId="3" xfId="0" applyFont="1" applyBorder="1"/>
    <xf numFmtId="174" fontId="3" fillId="0" borderId="3" xfId="0" applyNumberFormat="1" applyFont="1" applyBorder="1" applyAlignment="1">
      <alignment horizontal="center"/>
    </xf>
    <xf numFmtId="165" fontId="3" fillId="0" borderId="3" xfId="0" applyFont="1" applyBorder="1" applyAlignment="1">
      <alignment horizontal="center"/>
    </xf>
    <xf numFmtId="165" fontId="1" fillId="0" borderId="3" xfId="0" applyFont="1" applyBorder="1"/>
    <xf numFmtId="165" fontId="1" fillId="0" borderId="3" xfId="0" applyFont="1" applyBorder="1" applyAlignment="1">
      <alignment horizontal="right"/>
    </xf>
    <xf numFmtId="164" fontId="1" fillId="0" borderId="3" xfId="45" applyNumberFormat="1" applyFont="1" applyBorder="1" applyAlignment="1">
      <alignment horizontal="center"/>
    </xf>
    <xf numFmtId="169" fontId="1" fillId="0" borderId="3" xfId="0" applyNumberFormat="1" applyFont="1" applyBorder="1" applyAlignment="1">
      <alignment horizontal="right"/>
    </xf>
    <xf numFmtId="0" fontId="1" fillId="0" borderId="0" xfId="38" applyFont="1"/>
    <xf numFmtId="165" fontId="14" fillId="0" borderId="15" xfId="0" applyNumberFormat="1" applyFont="1" applyFill="1" applyBorder="1" applyAlignment="1" applyProtection="1">
      <alignment horizontal="left" vertical="center"/>
    </xf>
    <xf numFmtId="165" fontId="14" fillId="0" borderId="0" xfId="0" applyNumberFormat="1" applyFont="1" applyFill="1" applyBorder="1" applyAlignment="1" applyProtection="1">
      <alignment horizontal="left" vertical="center"/>
    </xf>
    <xf numFmtId="0" fontId="3" fillId="0" borderId="0" xfId="38" applyFont="1"/>
    <xf numFmtId="14" fontId="1" fillId="0" borderId="3" xfId="22" applyNumberFormat="1" applyFont="1" applyBorder="1" applyAlignment="1" applyProtection="1"/>
    <xf numFmtId="17" fontId="29" fillId="0" borderId="3" xfId="36" applyNumberFormat="1" applyFont="1" applyBorder="1" applyAlignment="1">
      <alignment horizontal="center"/>
    </xf>
    <xf numFmtId="165" fontId="31" fillId="0" borderId="3" xfId="36" applyNumberFormat="1" applyFont="1" applyFill="1" applyBorder="1" applyAlignment="1" applyProtection="1">
      <alignment horizontal="center" vertical="center"/>
    </xf>
    <xf numFmtId="0" fontId="29" fillId="0" borderId="2" xfId="36" applyBorder="1"/>
    <xf numFmtId="0" fontId="31" fillId="0" borderId="3" xfId="36" applyFont="1" applyFill="1" applyBorder="1" applyAlignment="1">
      <alignment horizontal="center" vertical="center"/>
    </xf>
    <xf numFmtId="0" fontId="29" fillId="0" borderId="6" xfId="36" applyBorder="1"/>
    <xf numFmtId="170" fontId="9" fillId="0" borderId="3" xfId="36" applyNumberFormat="1" applyFont="1" applyFill="1" applyBorder="1" applyAlignment="1">
      <alignment horizontal="center"/>
    </xf>
    <xf numFmtId="173" fontId="6" fillId="0" borderId="3" xfId="36" applyNumberFormat="1" applyFont="1" applyFill="1" applyBorder="1" applyAlignment="1" applyProtection="1">
      <alignment horizontal="center" vertical="center"/>
    </xf>
    <xf numFmtId="190" fontId="1" fillId="0" borderId="3" xfId="39" applyNumberFormat="1" applyFont="1" applyBorder="1" applyAlignment="1">
      <alignment horizontal="center"/>
    </xf>
    <xf numFmtId="10" fontId="29" fillId="0" borderId="3" xfId="37" applyNumberFormat="1" applyFill="1" applyBorder="1"/>
    <xf numFmtId="9" fontId="29" fillId="0" borderId="3" xfId="37" applyNumberFormat="1" applyFill="1" applyBorder="1"/>
    <xf numFmtId="0" fontId="1" fillId="0" borderId="0" xfId="34" applyAlignment="1">
      <alignment horizontal="center"/>
    </xf>
    <xf numFmtId="10" fontId="51" fillId="0" borderId="7" xfId="0" applyNumberFormat="1" applyFont="1" applyFill="1" applyBorder="1" applyAlignment="1">
      <alignment horizontal="center" vertical="center"/>
    </xf>
    <xf numFmtId="165" fontId="1" fillId="0" borderId="3" xfId="0" applyFont="1" applyFill="1" applyBorder="1" applyAlignment="1">
      <alignment horizontal="center"/>
    </xf>
    <xf numFmtId="10" fontId="29" fillId="0" borderId="3" xfId="45" applyNumberFormat="1" applyFont="1" applyBorder="1" applyAlignment="1">
      <alignment horizontal="center"/>
    </xf>
    <xf numFmtId="168" fontId="1" fillId="0" borderId="3" xfId="0" applyNumberFormat="1" applyFont="1" applyFill="1" applyBorder="1" applyAlignment="1">
      <alignment horizontal="center" vertical="center" wrapText="1"/>
    </xf>
    <xf numFmtId="173" fontId="29" fillId="0" borderId="3" xfId="0" applyNumberFormat="1" applyFont="1" applyFill="1" applyBorder="1" applyAlignment="1">
      <alignment horizontal="center"/>
    </xf>
    <xf numFmtId="165" fontId="0" fillId="0" borderId="3" xfId="0" applyFill="1" applyBorder="1" applyAlignment="1">
      <alignment horizontal="center"/>
    </xf>
    <xf numFmtId="168" fontId="0" fillId="0" borderId="3" xfId="0" applyNumberFormat="1" applyFill="1" applyBorder="1" applyAlignment="1">
      <alignment horizontal="center"/>
    </xf>
    <xf numFmtId="165" fontId="52" fillId="0" borderId="0" xfId="0" applyFont="1"/>
    <xf numFmtId="0" fontId="22" fillId="0" borderId="3" xfId="40" applyFont="1" applyFill="1" applyBorder="1" applyAlignment="1">
      <alignment horizontal="center" vertical="top" wrapText="1"/>
    </xf>
    <xf numFmtId="165" fontId="2" fillId="0" borderId="0" xfId="1" applyNumberFormat="1" applyFont="1" applyFill="1" applyBorder="1" applyAlignment="1">
      <alignment horizontal="left" vertical="center"/>
    </xf>
    <xf numFmtId="10" fontId="46" fillId="8" borderId="3" xfId="37" applyNumberFormat="1" applyFont="1" applyFill="1" applyBorder="1"/>
    <xf numFmtId="9" fontId="1" fillId="0" borderId="3" xfId="45" applyFont="1" applyBorder="1" applyAlignment="1">
      <alignment horizontal="right"/>
    </xf>
    <xf numFmtId="165" fontId="13" fillId="0" borderId="10" xfId="0" applyNumberFormat="1" applyFont="1" applyFill="1" applyBorder="1" applyAlignment="1" applyProtection="1">
      <alignment horizontal="left" vertical="center"/>
    </xf>
    <xf numFmtId="167" fontId="6" fillId="0" borderId="10" xfId="0" applyNumberFormat="1" applyFont="1" applyFill="1" applyBorder="1" applyAlignment="1" applyProtection="1">
      <alignment horizontal="center" vertical="center"/>
    </xf>
    <xf numFmtId="164" fontId="46" fillId="8" borderId="3" xfId="37" applyNumberFormat="1" applyFont="1" applyFill="1" applyBorder="1" applyAlignment="1">
      <alignment horizontal="center"/>
    </xf>
    <xf numFmtId="10" fontId="46" fillId="8" borderId="3" xfId="45" applyNumberFormat="1" applyFont="1" applyFill="1" applyBorder="1" applyAlignment="1">
      <alignment horizontal="center"/>
    </xf>
    <xf numFmtId="0" fontId="46" fillId="0" borderId="3" xfId="37" applyFont="1" applyFill="1" applyBorder="1" applyAlignment="1">
      <alignment horizontal="center"/>
    </xf>
    <xf numFmtId="168" fontId="51" fillId="8" borderId="3" xfId="0" applyNumberFormat="1" applyFont="1" applyFill="1" applyBorder="1" applyAlignment="1">
      <alignment horizontal="center" vertical="center"/>
    </xf>
    <xf numFmtId="0" fontId="29" fillId="0" borderId="3" xfId="38" applyBorder="1"/>
    <xf numFmtId="10" fontId="29" fillId="0" borderId="3" xfId="38" applyNumberFormat="1" applyBorder="1" applyAlignment="1">
      <alignment horizontal="center"/>
    </xf>
    <xf numFmtId="14" fontId="46" fillId="0" borderId="3" xfId="22" applyNumberFormat="1" applyFont="1" applyFill="1" applyBorder="1" applyAlignment="1" applyProtection="1">
      <protection locked="0"/>
    </xf>
    <xf numFmtId="14" fontId="1" fillId="0" borderId="3" xfId="22" applyNumberFormat="1" applyFont="1" applyFill="1" applyBorder="1" applyAlignment="1" applyProtection="1"/>
    <xf numFmtId="165" fontId="11" fillId="0" borderId="7" xfId="35" applyBorder="1"/>
    <xf numFmtId="0" fontId="1" fillId="0" borderId="7" xfId="39" applyBorder="1"/>
    <xf numFmtId="190" fontId="1" fillId="0" borderId="7" xfId="39" applyNumberFormat="1" applyFont="1" applyBorder="1" applyAlignment="1">
      <alignment horizontal="center"/>
    </xf>
    <xf numFmtId="14" fontId="1" fillId="6" borderId="7" xfId="22" applyNumberFormat="1" applyFont="1" applyFill="1" applyBorder="1" applyAlignment="1" applyProtection="1"/>
    <xf numFmtId="165" fontId="11" fillId="0" borderId="22" xfId="35" applyBorder="1"/>
    <xf numFmtId="0" fontId="1" fillId="0" borderId="22" xfId="39" applyBorder="1"/>
    <xf numFmtId="190" fontId="1" fillId="0" borderId="22" xfId="39" applyNumberFormat="1" applyFont="1" applyBorder="1" applyAlignment="1">
      <alignment horizontal="center"/>
    </xf>
    <xf numFmtId="14" fontId="1" fillId="0" borderId="22" xfId="22" applyNumberFormat="1" applyFont="1" applyFill="1" applyBorder="1" applyAlignment="1" applyProtection="1"/>
    <xf numFmtId="14" fontId="1" fillId="0" borderId="7" xfId="22" applyNumberFormat="1" applyFont="1" applyBorder="1" applyAlignment="1" applyProtection="1"/>
    <xf numFmtId="165" fontId="11" fillId="0" borderId="23" xfId="35" applyBorder="1"/>
    <xf numFmtId="0" fontId="1" fillId="0" borderId="23" xfId="39" applyBorder="1"/>
    <xf numFmtId="190" fontId="1" fillId="0" borderId="23" xfId="39" applyNumberFormat="1" applyFont="1" applyBorder="1" applyAlignment="1">
      <alignment horizontal="center"/>
    </xf>
    <xf numFmtId="14" fontId="1" fillId="0" borderId="23" xfId="22" applyNumberFormat="1" applyFont="1" applyBorder="1" applyAlignment="1" applyProtection="1"/>
    <xf numFmtId="168" fontId="1" fillId="0" borderId="3" xfId="0" applyNumberFormat="1" applyFont="1" applyBorder="1" applyAlignment="1">
      <alignment horizontal="right"/>
    </xf>
    <xf numFmtId="165" fontId="0" fillId="0" borderId="24" xfId="0" applyBorder="1" applyAlignment="1">
      <alignment horizontal="center"/>
    </xf>
    <xf numFmtId="165" fontId="0" fillId="0" borderId="15" xfId="0" applyBorder="1" applyAlignment="1">
      <alignment horizontal="center"/>
    </xf>
    <xf numFmtId="165" fontId="5" fillId="6" borderId="15" xfId="0" applyNumberFormat="1" applyFont="1" applyFill="1" applyBorder="1" applyAlignment="1" applyProtection="1">
      <alignment horizontal="center" vertical="center"/>
    </xf>
    <xf numFmtId="167" fontId="6" fillId="6" borderId="15" xfId="0" applyNumberFormat="1" applyFont="1" applyFill="1" applyBorder="1" applyAlignment="1" applyProtection="1">
      <alignment horizontal="center" vertical="center"/>
      <protection locked="0"/>
    </xf>
    <xf numFmtId="167" fontId="6" fillId="6" borderId="15" xfId="0" applyNumberFormat="1" applyFont="1" applyFill="1" applyBorder="1" applyAlignment="1" applyProtection="1">
      <alignment horizontal="center" vertical="center"/>
    </xf>
    <xf numFmtId="167" fontId="6" fillId="6" borderId="8" xfId="0" applyNumberFormat="1" applyFont="1" applyFill="1" applyBorder="1" applyAlignment="1" applyProtection="1">
      <alignment horizontal="center" vertical="center"/>
    </xf>
    <xf numFmtId="167" fontId="6" fillId="6" borderId="10" xfId="0" applyNumberFormat="1" applyFont="1" applyFill="1" applyBorder="1" applyAlignment="1" applyProtection="1">
      <alignment horizontal="center" vertical="center"/>
    </xf>
    <xf numFmtId="0" fontId="53" fillId="0" borderId="0" xfId="38" applyFont="1"/>
    <xf numFmtId="165" fontId="1" fillId="0" borderId="6" xfId="0" applyFont="1" applyFill="1" applyBorder="1" applyAlignment="1">
      <alignment horizontal="center"/>
    </xf>
    <xf numFmtId="4" fontId="34" fillId="0" borderId="7" xfId="1" applyNumberFormat="1" applyFont="1" applyFill="1" applyBorder="1" applyAlignment="1">
      <alignment horizontal="center" vertical="center"/>
    </xf>
    <xf numFmtId="0" fontId="54" fillId="0" borderId="3" xfId="0" applyNumberFormat="1" applyFont="1" applyFill="1" applyBorder="1" applyAlignment="1">
      <alignment horizontal="center" vertical="center"/>
    </xf>
    <xf numFmtId="17" fontId="29" fillId="0" borderId="0" xfId="38" applyNumberFormat="1"/>
    <xf numFmtId="10" fontId="1" fillId="0" borderId="3" xfId="45" applyNumberFormat="1" applyFont="1" applyBorder="1" applyAlignment="1">
      <alignment horizontal="center"/>
    </xf>
    <xf numFmtId="0" fontId="54" fillId="0" borderId="0" xfId="0" applyNumberFormat="1" applyFont="1" applyFill="1" applyBorder="1" applyAlignment="1">
      <alignment horizontal="center" vertical="center"/>
    </xf>
    <xf numFmtId="0" fontId="29" fillId="8" borderId="3" xfId="37" applyFill="1" applyBorder="1"/>
    <xf numFmtId="0" fontId="46" fillId="8" borderId="3" xfId="37" applyFont="1" applyFill="1" applyBorder="1" applyAlignment="1">
      <alignment horizontal="center"/>
    </xf>
    <xf numFmtId="0" fontId="29" fillId="8" borderId="3" xfId="37" applyFill="1" applyBorder="1" applyAlignment="1">
      <alignment horizontal="center"/>
    </xf>
    <xf numFmtId="0" fontId="29" fillId="8" borderId="3" xfId="37" applyFont="1" applyFill="1" applyBorder="1"/>
    <xf numFmtId="168" fontId="46" fillId="8" borderId="3" xfId="37" applyNumberFormat="1" applyFont="1" applyFill="1" applyBorder="1" applyAlignment="1">
      <alignment horizontal="center"/>
    </xf>
    <xf numFmtId="168" fontId="29" fillId="8" borderId="3" xfId="37" applyNumberFormat="1" applyFill="1" applyBorder="1" applyAlignment="1">
      <alignment horizontal="center"/>
    </xf>
    <xf numFmtId="165" fontId="5" fillId="0" borderId="11" xfId="0" applyNumberFormat="1" applyFont="1" applyFill="1" applyBorder="1" applyAlignment="1" applyProtection="1">
      <alignment horizontal="center" vertical="center"/>
    </xf>
    <xf numFmtId="165" fontId="5" fillId="6" borderId="14" xfId="0" applyNumberFormat="1" applyFont="1" applyFill="1" applyBorder="1" applyAlignment="1" applyProtection="1">
      <alignment horizontal="center" vertical="center"/>
    </xf>
    <xf numFmtId="167" fontId="6" fillId="6" borderId="14" xfId="0" applyNumberFormat="1" applyFont="1" applyFill="1" applyBorder="1" applyAlignment="1" applyProtection="1">
      <alignment horizontal="center" vertical="center"/>
      <protection locked="0"/>
    </xf>
    <xf numFmtId="167" fontId="6" fillId="6" borderId="14" xfId="0" applyNumberFormat="1" applyFont="1" applyFill="1" applyBorder="1" applyAlignment="1" applyProtection="1">
      <alignment horizontal="center" vertical="center"/>
    </xf>
    <xf numFmtId="167" fontId="6" fillId="6" borderId="11" xfId="0" applyNumberFormat="1" applyFont="1" applyFill="1" applyBorder="1" applyAlignment="1" applyProtection="1">
      <alignment horizontal="center" vertical="center"/>
    </xf>
    <xf numFmtId="167" fontId="6" fillId="6" borderId="7" xfId="0" applyNumberFormat="1" applyFont="1" applyFill="1" applyBorder="1" applyAlignment="1" applyProtection="1">
      <alignment horizontal="center" vertical="center"/>
    </xf>
    <xf numFmtId="165" fontId="6" fillId="0" borderId="14" xfId="0" applyFont="1" applyFill="1" applyBorder="1" applyAlignment="1">
      <alignment horizontal="center" vertical="center"/>
    </xf>
    <xf numFmtId="167" fontId="6" fillId="0" borderId="14" xfId="0" applyNumberFormat="1" applyFont="1" applyFill="1" applyBorder="1" applyAlignment="1" applyProtection="1">
      <alignment horizontal="center" vertical="center"/>
      <protection locked="0"/>
    </xf>
    <xf numFmtId="167" fontId="6" fillId="0" borderId="7" xfId="0" applyNumberFormat="1" applyFont="1" applyFill="1" applyBorder="1" applyAlignment="1" applyProtection="1">
      <alignment horizontal="center" vertical="center"/>
      <protection locked="0"/>
    </xf>
    <xf numFmtId="173" fontId="51" fillId="8" borderId="3" xfId="0" applyNumberFormat="1" applyFont="1" applyFill="1" applyBorder="1" applyAlignment="1">
      <alignment horizontal="center" vertical="center"/>
    </xf>
    <xf numFmtId="165" fontId="3" fillId="8" borderId="0" xfId="0" applyFont="1" applyFill="1" applyAlignment="1">
      <alignment vertical="center"/>
    </xf>
    <xf numFmtId="165" fontId="5" fillId="0" borderId="3" xfId="0" applyFont="1" applyBorder="1" applyAlignment="1">
      <alignment horizontal="left" vertical="top" wrapText="1"/>
    </xf>
    <xf numFmtId="165" fontId="17" fillId="0" borderId="25" xfId="1" applyNumberFormat="1" applyFont="1" applyBorder="1" applyAlignment="1">
      <alignment horizontal="centerContinuous" vertical="center"/>
    </xf>
    <xf numFmtId="165" fontId="0" fillId="0" borderId="26" xfId="0" applyBorder="1" applyAlignment="1">
      <alignment horizontal="centerContinuous"/>
    </xf>
    <xf numFmtId="165" fontId="17" fillId="0" borderId="27" xfId="1" applyNumberFormat="1" applyFont="1" applyBorder="1" applyAlignment="1">
      <alignment horizontal="centerContinuous" vertical="center"/>
    </xf>
    <xf numFmtId="165" fontId="0" fillId="0" borderId="0" xfId="0" applyBorder="1" applyAlignment="1">
      <alignment horizontal="centerContinuous"/>
    </xf>
    <xf numFmtId="165" fontId="2" fillId="0" borderId="14" xfId="1" applyNumberFormat="1" applyFont="1" applyBorder="1" applyAlignment="1">
      <alignment horizontal="center" vertical="center"/>
    </xf>
    <xf numFmtId="165" fontId="2" fillId="0" borderId="28" xfId="1" applyNumberFormat="1" applyFont="1" applyBorder="1" applyAlignment="1">
      <alignment horizontal="center" vertical="center"/>
    </xf>
    <xf numFmtId="2" fontId="5" fillId="0" borderId="3" xfId="0" applyNumberFormat="1" applyFont="1" applyBorder="1" applyAlignment="1">
      <alignment horizontal="center" wrapText="1"/>
    </xf>
    <xf numFmtId="2" fontId="5" fillId="0" borderId="29" xfId="0" applyNumberFormat="1" applyFont="1" applyBorder="1" applyAlignment="1">
      <alignment horizontal="center" wrapText="1"/>
    </xf>
    <xf numFmtId="165" fontId="5" fillId="0" borderId="31" xfId="0" applyFont="1" applyBorder="1" applyAlignment="1">
      <alignment horizontal="left" vertical="top" wrapText="1"/>
    </xf>
    <xf numFmtId="2" fontId="5" fillId="0" borderId="31" xfId="0" applyNumberFormat="1" applyFont="1" applyBorder="1" applyAlignment="1">
      <alignment horizontal="center" wrapText="1"/>
    </xf>
    <xf numFmtId="2" fontId="5" fillId="0" borderId="32" xfId="0" applyNumberFormat="1" applyFont="1" applyBorder="1" applyAlignment="1">
      <alignment horizontal="center" wrapText="1"/>
    </xf>
    <xf numFmtId="4" fontId="18" fillId="0" borderId="7" xfId="1" applyNumberFormat="1" applyFont="1" applyFill="1" applyBorder="1" applyAlignment="1">
      <alignment horizontal="center" vertical="center"/>
    </xf>
    <xf numFmtId="188" fontId="47" fillId="0" borderId="0" xfId="0" applyNumberFormat="1" applyFont="1" applyFill="1" applyBorder="1" applyAlignment="1">
      <alignment horizontal="center" wrapText="1"/>
    </xf>
    <xf numFmtId="0" fontId="5" fillId="0" borderId="0" xfId="40" applyFont="1" applyBorder="1"/>
    <xf numFmtId="165" fontId="1" fillId="0" borderId="0" xfId="0" applyFont="1" applyFill="1" applyBorder="1" applyAlignment="1">
      <alignment horizontal="center"/>
    </xf>
    <xf numFmtId="168" fontId="55" fillId="8" borderId="3" xfId="0" applyNumberFormat="1" applyFont="1" applyFill="1" applyBorder="1"/>
    <xf numFmtId="165" fontId="0" fillId="0" borderId="0" xfId="0" applyFill="1"/>
    <xf numFmtId="2" fontId="5" fillId="0" borderId="33" xfId="0" applyNumberFormat="1" applyFont="1" applyBorder="1" applyAlignment="1">
      <alignment horizontal="center" wrapText="1"/>
    </xf>
    <xf numFmtId="2" fontId="5" fillId="0" borderId="34" xfId="0" applyNumberFormat="1" applyFont="1" applyBorder="1" applyAlignment="1">
      <alignment horizontal="center" wrapText="1"/>
    </xf>
    <xf numFmtId="168" fontId="10" fillId="0" borderId="0" xfId="21" applyNumberFormat="1" applyBorder="1" applyAlignment="1" applyProtection="1">
      <alignment horizontal="left"/>
    </xf>
    <xf numFmtId="2" fontId="56" fillId="0" borderId="3" xfId="0" applyNumberFormat="1" applyFont="1" applyFill="1" applyBorder="1" applyAlignment="1">
      <alignment horizontal="center" wrapText="1"/>
    </xf>
    <xf numFmtId="165" fontId="11" fillId="0" borderId="17" xfId="0" applyFont="1" applyFill="1" applyBorder="1"/>
    <xf numFmtId="188" fontId="11" fillId="0" borderId="9" xfId="0" applyNumberFormat="1" applyFont="1" applyFill="1" applyBorder="1"/>
    <xf numFmtId="165" fontId="11" fillId="0" borderId="18" xfId="0" applyFont="1" applyFill="1" applyBorder="1"/>
    <xf numFmtId="188" fontId="11" fillId="0" borderId="0" xfId="0" applyNumberFormat="1" applyFont="1" applyFill="1" applyBorder="1"/>
    <xf numFmtId="165" fontId="11" fillId="0" borderId="36" xfId="0" applyFont="1" applyFill="1" applyBorder="1"/>
    <xf numFmtId="188" fontId="11" fillId="0" borderId="4" xfId="0" applyNumberFormat="1" applyFont="1" applyFill="1" applyBorder="1"/>
    <xf numFmtId="165" fontId="11" fillId="0" borderId="37" xfId="0" applyFont="1" applyFill="1" applyBorder="1"/>
    <xf numFmtId="188" fontId="11" fillId="0" borderId="38" xfId="0" applyNumberFormat="1" applyFont="1" applyFill="1" applyBorder="1"/>
    <xf numFmtId="165" fontId="11" fillId="0" borderId="20" xfId="0" applyFont="1" applyFill="1" applyBorder="1"/>
    <xf numFmtId="188" fontId="11" fillId="0" borderId="39" xfId="0" applyNumberFormat="1" applyFont="1" applyFill="1" applyBorder="1"/>
    <xf numFmtId="165" fontId="57" fillId="0" borderId="37" xfId="0" applyFont="1" applyFill="1" applyBorder="1"/>
    <xf numFmtId="188" fontId="57" fillId="0" borderId="38" xfId="0" applyNumberFormat="1" applyFont="1" applyFill="1" applyBorder="1"/>
    <xf numFmtId="165" fontId="57" fillId="0" borderId="20" xfId="0" applyFont="1" applyFill="1" applyBorder="1"/>
    <xf numFmtId="188" fontId="57" fillId="0" borderId="39" xfId="0" applyNumberFormat="1" applyFont="1" applyFill="1" applyBorder="1"/>
    <xf numFmtId="165" fontId="57" fillId="0" borderId="18" xfId="0" applyFont="1" applyFill="1" applyBorder="1"/>
    <xf numFmtId="188" fontId="57" fillId="0" borderId="0" xfId="0" applyNumberFormat="1" applyFont="1" applyFill="1" applyBorder="1"/>
    <xf numFmtId="165" fontId="52" fillId="0" borderId="0" xfId="0" applyFont="1" applyBorder="1" applyAlignment="1">
      <alignment horizontal="left"/>
    </xf>
    <xf numFmtId="165" fontId="1" fillId="0" borderId="5" xfId="0" applyFont="1" applyFill="1" applyBorder="1" applyAlignment="1">
      <alignment horizontal="left"/>
    </xf>
    <xf numFmtId="165" fontId="29" fillId="0" borderId="3" xfId="0" applyFont="1" applyBorder="1"/>
    <xf numFmtId="170" fontId="1" fillId="0" borderId="3" xfId="0" applyNumberFormat="1" applyFont="1" applyBorder="1" applyAlignment="1">
      <alignment horizontal="right"/>
    </xf>
    <xf numFmtId="165" fontId="0" fillId="0" borderId="37" xfId="0" applyFill="1" applyBorder="1"/>
    <xf numFmtId="188" fontId="0" fillId="0" borderId="38" xfId="0" applyNumberFormat="1" applyFill="1" applyBorder="1"/>
    <xf numFmtId="165" fontId="0" fillId="0" borderId="20" xfId="0" applyFill="1" applyBorder="1"/>
    <xf numFmtId="188" fontId="0" fillId="0" borderId="39" xfId="0" applyNumberFormat="1" applyFill="1" applyBorder="1"/>
    <xf numFmtId="165" fontId="0" fillId="0" borderId="18" xfId="0" applyFill="1" applyBorder="1"/>
    <xf numFmtId="188" fontId="0" fillId="0" borderId="0" xfId="0" applyNumberFormat="1" applyFill="1" applyBorder="1"/>
    <xf numFmtId="165" fontId="0" fillId="0" borderId="36" xfId="0" applyFill="1" applyBorder="1"/>
    <xf numFmtId="188" fontId="0" fillId="0" borderId="4" xfId="0" applyNumberFormat="1" applyFill="1" applyBorder="1"/>
    <xf numFmtId="165" fontId="12" fillId="0" borderId="0" xfId="1" applyNumberFormat="1" applyFont="1" applyFill="1" applyBorder="1" applyAlignment="1">
      <alignment horizontal="left" vertical="center" wrapText="1"/>
    </xf>
    <xf numFmtId="165" fontId="52" fillId="0" borderId="3" xfId="0" applyFont="1" applyBorder="1" applyAlignment="1">
      <alignment horizontal="center"/>
    </xf>
    <xf numFmtId="165" fontId="52" fillId="0" borderId="11" xfId="0" applyFont="1" applyBorder="1"/>
    <xf numFmtId="168" fontId="52" fillId="0" borderId="3" xfId="0" applyNumberFormat="1" applyFont="1" applyBorder="1" applyAlignment="1">
      <alignment horizontal="center"/>
    </xf>
    <xf numFmtId="165" fontId="52" fillId="0" borderId="3" xfId="0" applyFont="1" applyBorder="1"/>
    <xf numFmtId="165" fontId="52" fillId="0" borderId="14" xfId="0" applyFont="1" applyBorder="1"/>
    <xf numFmtId="165" fontId="52" fillId="0" borderId="7" xfId="0" applyFont="1" applyBorder="1"/>
    <xf numFmtId="165" fontId="52" fillId="0" borderId="3" xfId="0" applyFont="1" applyBorder="1" applyAlignment="1">
      <alignment wrapText="1"/>
    </xf>
    <xf numFmtId="165" fontId="52" fillId="0" borderId="3" xfId="0" applyFont="1" applyBorder="1" applyAlignment="1">
      <alignment vertical="top" wrapText="1"/>
    </xf>
    <xf numFmtId="165" fontId="12" fillId="0" borderId="0" xfId="0" applyFont="1"/>
    <xf numFmtId="0" fontId="1" fillId="0" borderId="0" xfId="34" applyFont="1"/>
    <xf numFmtId="169" fontId="1" fillId="0" borderId="3" xfId="39" applyNumberFormat="1" applyFont="1" applyFill="1" applyBorder="1" applyProtection="1">
      <protection locked="0"/>
    </xf>
    <xf numFmtId="169" fontId="1" fillId="0" borderId="22" xfId="39" applyNumberFormat="1" applyFont="1" applyFill="1" applyBorder="1" applyProtection="1">
      <protection locked="0"/>
    </xf>
    <xf numFmtId="169" fontId="1" fillId="6" borderId="7" xfId="39" applyNumberFormat="1" applyFont="1" applyFill="1" applyBorder="1" applyProtection="1">
      <protection locked="0"/>
    </xf>
    <xf numFmtId="169" fontId="1" fillId="0" borderId="3" xfId="39" applyNumberFormat="1" applyFont="1" applyBorder="1" applyProtection="1">
      <protection locked="0"/>
    </xf>
    <xf numFmtId="2" fontId="1" fillId="0" borderId="3" xfId="36" applyNumberFormat="1" applyFont="1" applyBorder="1" applyProtection="1">
      <protection locked="0"/>
    </xf>
    <xf numFmtId="169" fontId="46" fillId="8" borderId="7" xfId="39" applyNumberFormat="1" applyFont="1" applyFill="1" applyBorder="1" applyProtection="1">
      <protection locked="0"/>
    </xf>
    <xf numFmtId="169" fontId="46" fillId="8" borderId="3" xfId="39" applyNumberFormat="1" applyFont="1" applyFill="1" applyBorder="1" applyProtection="1">
      <protection locked="0"/>
    </xf>
    <xf numFmtId="2" fontId="46" fillId="8" borderId="3" xfId="36" applyNumberFormat="1" applyFont="1" applyFill="1" applyBorder="1" applyProtection="1">
      <protection locked="0"/>
    </xf>
    <xf numFmtId="2" fontId="5" fillId="0" borderId="7" xfId="0" applyNumberFormat="1" applyFont="1" applyFill="1" applyBorder="1" applyAlignment="1" applyProtection="1">
      <alignment horizontal="center" vertical="center"/>
    </xf>
    <xf numFmtId="14" fontId="5" fillId="8" borderId="0" xfId="0" applyNumberFormat="1" applyFont="1" applyFill="1" applyBorder="1" applyAlignment="1">
      <alignment horizontal="center" vertical="center"/>
    </xf>
    <xf numFmtId="0" fontId="5" fillId="8" borderId="0" xfId="0" applyNumberFormat="1" applyFont="1" applyFill="1" applyBorder="1" applyAlignment="1" applyProtection="1">
      <alignment horizontal="center" vertical="center"/>
    </xf>
    <xf numFmtId="165" fontId="5" fillId="8" borderId="0" xfId="0" applyFont="1" applyFill="1" applyAlignment="1">
      <alignment vertical="center"/>
    </xf>
    <xf numFmtId="10" fontId="2" fillId="8" borderId="0" xfId="0" applyNumberFormat="1" applyFont="1" applyFill="1" applyAlignment="1">
      <alignment vertical="center"/>
    </xf>
    <xf numFmtId="10" fontId="5" fillId="8" borderId="0" xfId="0" applyNumberFormat="1" applyFont="1" applyFill="1" applyAlignment="1">
      <alignment vertical="center"/>
    </xf>
    <xf numFmtId="168" fontId="29" fillId="0" borderId="3" xfId="0" applyNumberFormat="1" applyFont="1" applyBorder="1" applyAlignment="1">
      <alignment horizontal="right" wrapText="1"/>
    </xf>
    <xf numFmtId="168" fontId="29" fillId="0" borderId="3" xfId="0" applyNumberFormat="1" applyFont="1" applyBorder="1" applyAlignment="1">
      <alignment horizontal="right"/>
    </xf>
    <xf numFmtId="165" fontId="3" fillId="0" borderId="8" xfId="0" applyFont="1" applyFill="1" applyBorder="1" applyAlignment="1">
      <alignment vertical="center"/>
    </xf>
    <xf numFmtId="165" fontId="3" fillId="0" borderId="15" xfId="0" applyFont="1" applyFill="1" applyBorder="1" applyAlignment="1">
      <alignment vertical="center"/>
    </xf>
    <xf numFmtId="165" fontId="5" fillId="0" borderId="14" xfId="0" applyFont="1" applyFill="1" applyBorder="1" applyAlignment="1">
      <alignment horizontal="center" vertical="center"/>
    </xf>
    <xf numFmtId="165" fontId="53" fillId="0" borderId="15" xfId="0" applyFont="1" applyFill="1" applyBorder="1" applyAlignment="1">
      <alignment horizontal="left" vertical="center" indent="1"/>
    </xf>
    <xf numFmtId="165" fontId="1" fillId="0" borderId="15" xfId="0" applyFont="1" applyFill="1" applyBorder="1" applyAlignment="1">
      <alignment horizontal="left" vertical="center" indent="1"/>
    </xf>
    <xf numFmtId="165" fontId="1" fillId="0" borderId="10" xfId="0" applyFont="1" applyFill="1" applyBorder="1" applyAlignment="1">
      <alignment horizontal="left" vertical="center" indent="1"/>
    </xf>
    <xf numFmtId="175" fontId="5" fillId="0" borderId="0" xfId="0" applyNumberFormat="1" applyFont="1" applyFill="1" applyBorder="1" applyAlignment="1">
      <alignment horizontal="center" vertical="center"/>
    </xf>
    <xf numFmtId="10" fontId="5" fillId="0" borderId="0" xfId="0" applyNumberFormat="1" applyFont="1" applyFill="1" applyBorder="1" applyAlignment="1">
      <alignment horizontal="center" vertical="center"/>
    </xf>
    <xf numFmtId="10" fontId="6" fillId="0" borderId="0" xfId="0" applyNumberFormat="1" applyFont="1" applyFill="1" applyAlignment="1">
      <alignment horizontal="center" vertical="center"/>
    </xf>
    <xf numFmtId="10" fontId="6" fillId="0" borderId="11" xfId="0" applyNumberFormat="1" applyFont="1" applyFill="1" applyBorder="1" applyAlignment="1">
      <alignment horizontal="center" vertical="center"/>
    </xf>
    <xf numFmtId="10" fontId="6" fillId="0" borderId="14" xfId="0" applyNumberFormat="1" applyFont="1" applyFill="1" applyBorder="1" applyAlignment="1">
      <alignment horizontal="center" vertical="center"/>
    </xf>
    <xf numFmtId="17" fontId="1" fillId="0" borderId="3" xfId="36" applyNumberFormat="1" applyFont="1" applyBorder="1" applyAlignment="1">
      <alignment horizontal="center"/>
    </xf>
    <xf numFmtId="169" fontId="1" fillId="11" borderId="41" xfId="39" applyNumberFormat="1" applyFont="1" applyFill="1" applyBorder="1" applyProtection="1">
      <protection locked="0"/>
    </xf>
    <xf numFmtId="165" fontId="54" fillId="10" borderId="36" xfId="0" applyFont="1" applyFill="1" applyBorder="1"/>
    <xf numFmtId="188" fontId="58" fillId="10" borderId="4" xfId="0" applyNumberFormat="1" applyFont="1" applyFill="1" applyBorder="1"/>
    <xf numFmtId="167" fontId="58" fillId="0" borderId="11" xfId="0" applyNumberFormat="1" applyFont="1" applyFill="1" applyBorder="1" applyAlignment="1">
      <alignment horizontal="center"/>
    </xf>
    <xf numFmtId="168" fontId="58" fillId="0" borderId="11" xfId="0" applyNumberFormat="1" applyFont="1" applyFill="1" applyBorder="1" applyAlignment="1">
      <alignment horizontal="center"/>
    </xf>
    <xf numFmtId="167" fontId="5" fillId="0" borderId="11" xfId="0" applyNumberFormat="1" applyFont="1" applyFill="1" applyBorder="1" applyAlignment="1">
      <alignment horizontal="center"/>
    </xf>
    <xf numFmtId="167" fontId="58" fillId="0" borderId="14" xfId="0" applyNumberFormat="1" applyFont="1" applyFill="1" applyBorder="1" applyAlignment="1">
      <alignment horizontal="center"/>
    </xf>
    <xf numFmtId="168" fontId="58" fillId="0" borderId="14" xfId="0" applyNumberFormat="1" applyFont="1" applyFill="1" applyBorder="1" applyAlignment="1">
      <alignment horizontal="center"/>
    </xf>
    <xf numFmtId="167" fontId="5" fillId="0" borderId="14" xfId="0" applyNumberFormat="1" applyFont="1" applyFill="1" applyBorder="1" applyAlignment="1">
      <alignment horizontal="center"/>
    </xf>
    <xf numFmtId="167" fontId="58" fillId="0" borderId="7" xfId="0" applyNumberFormat="1" applyFont="1" applyFill="1" applyBorder="1" applyAlignment="1">
      <alignment horizontal="center"/>
    </xf>
    <xf numFmtId="168" fontId="58" fillId="0" borderId="7" xfId="0" applyNumberFormat="1" applyFont="1" applyFill="1" applyBorder="1" applyAlignment="1">
      <alignment horizontal="center"/>
    </xf>
    <xf numFmtId="167" fontId="5" fillId="11" borderId="7" xfId="0" applyNumberFormat="1" applyFont="1" applyFill="1" applyBorder="1" applyAlignment="1">
      <alignment horizontal="center"/>
    </xf>
    <xf numFmtId="167" fontId="58" fillId="0" borderId="21" xfId="0" applyNumberFormat="1" applyFont="1" applyFill="1" applyBorder="1" applyAlignment="1">
      <alignment horizontal="center"/>
    </xf>
    <xf numFmtId="168" fontId="58" fillId="0" borderId="21" xfId="0" applyNumberFormat="1" applyFont="1" applyFill="1" applyBorder="1" applyAlignment="1">
      <alignment horizontal="center"/>
    </xf>
    <xf numFmtId="167" fontId="5" fillId="11" borderId="21" xfId="0" applyNumberFormat="1" applyFont="1" applyFill="1" applyBorder="1" applyAlignment="1">
      <alignment horizontal="center"/>
    </xf>
    <xf numFmtId="167" fontId="58" fillId="0" borderId="35" xfId="0" applyNumberFormat="1" applyFont="1" applyFill="1" applyBorder="1" applyAlignment="1">
      <alignment horizontal="center"/>
    </xf>
    <xf numFmtId="168" fontId="58" fillId="0" borderId="35" xfId="0" applyNumberFormat="1" applyFont="1" applyFill="1" applyBorder="1" applyAlignment="1">
      <alignment horizontal="center"/>
    </xf>
    <xf numFmtId="167" fontId="5" fillId="11" borderId="35" xfId="0" applyNumberFormat="1" applyFont="1" applyFill="1" applyBorder="1" applyAlignment="1">
      <alignment horizontal="center"/>
    </xf>
    <xf numFmtId="167" fontId="5" fillId="11" borderId="14" xfId="0" applyNumberFormat="1" applyFont="1" applyFill="1" applyBorder="1" applyAlignment="1">
      <alignment horizontal="center"/>
    </xf>
    <xf numFmtId="167" fontId="58" fillId="11" borderId="35" xfId="0" applyNumberFormat="1" applyFont="1" applyFill="1" applyBorder="1" applyAlignment="1">
      <alignment horizontal="center"/>
    </xf>
    <xf numFmtId="167" fontId="58" fillId="11" borderId="14" xfId="0" applyNumberFormat="1" applyFont="1" applyFill="1" applyBorder="1" applyAlignment="1">
      <alignment horizontal="center"/>
    </xf>
    <xf numFmtId="168" fontId="58" fillId="10" borderId="7" xfId="0" applyNumberFormat="1" applyFont="1" applyFill="1" applyBorder="1" applyAlignment="1">
      <alignment horizontal="center"/>
    </xf>
    <xf numFmtId="167" fontId="61" fillId="0" borderId="35" xfId="0" applyNumberFormat="1" applyFont="1" applyFill="1" applyBorder="1" applyAlignment="1">
      <alignment horizontal="center"/>
    </xf>
    <xf numFmtId="167" fontId="61" fillId="0" borderId="14" xfId="0" applyNumberFormat="1" applyFont="1" applyFill="1" applyBorder="1" applyAlignment="1">
      <alignment horizontal="center"/>
    </xf>
    <xf numFmtId="167" fontId="61" fillId="0" borderId="7" xfId="0" applyNumberFormat="1" applyFont="1" applyFill="1" applyBorder="1" applyAlignment="1">
      <alignment horizontal="center"/>
    </xf>
    <xf numFmtId="167" fontId="58" fillId="11" borderId="7" xfId="0" applyNumberFormat="1" applyFont="1" applyFill="1" applyBorder="1" applyAlignment="1">
      <alignment horizontal="center"/>
    </xf>
    <xf numFmtId="168" fontId="58" fillId="0" borderId="3" xfId="0" applyNumberFormat="1" applyFont="1" applyFill="1" applyBorder="1" applyAlignment="1">
      <alignment horizontal="center"/>
    </xf>
    <xf numFmtId="10" fontId="29" fillId="0" borderId="0" xfId="36" applyNumberFormat="1"/>
    <xf numFmtId="0" fontId="62" fillId="0" borderId="0" xfId="38" applyFont="1"/>
    <xf numFmtId="168" fontId="5" fillId="0" borderId="0" xfId="0" applyNumberFormat="1" applyFont="1" applyFill="1" applyBorder="1" applyAlignment="1" applyProtection="1">
      <alignment horizontal="center" vertical="center"/>
    </xf>
    <xf numFmtId="165" fontId="2" fillId="0" borderId="0" xfId="1" applyNumberFormat="1" applyFont="1" applyBorder="1" applyAlignment="1">
      <alignment horizontal="center" vertical="center"/>
    </xf>
    <xf numFmtId="165" fontId="3" fillId="0" borderId="0" xfId="0" applyFont="1" applyAlignment="1">
      <alignment horizontal="center"/>
    </xf>
    <xf numFmtId="0" fontId="5" fillId="0" borderId="3" xfId="40" applyFont="1" applyFill="1" applyBorder="1" applyAlignment="1">
      <alignment horizontal="center"/>
    </xf>
    <xf numFmtId="2" fontId="5" fillId="0" borderId="0" xfId="0" applyNumberFormat="1" applyFont="1" applyFill="1" applyBorder="1" applyAlignment="1" applyProtection="1">
      <alignment horizontal="center" vertical="center"/>
    </xf>
    <xf numFmtId="15" fontId="2" fillId="0" borderId="5" xfId="0" applyNumberFormat="1" applyFont="1" applyFill="1" applyBorder="1" applyAlignment="1" applyProtection="1">
      <alignment horizontal="center" vertical="center" wrapText="1"/>
    </xf>
    <xf numFmtId="15" fontId="2" fillId="0" borderId="3" xfId="0" applyNumberFormat="1" applyFont="1" applyFill="1" applyBorder="1" applyAlignment="1" applyProtection="1">
      <alignment horizontal="center" vertical="center" wrapText="1"/>
    </xf>
    <xf numFmtId="165" fontId="8" fillId="0" borderId="0" xfId="0" quotePrefix="1" applyNumberFormat="1" applyFont="1" applyFill="1" applyBorder="1" applyAlignment="1" applyProtection="1">
      <alignment horizontal="left" vertical="center"/>
    </xf>
    <xf numFmtId="165" fontId="5" fillId="0" borderId="0" xfId="0" applyFont="1" applyFill="1" applyBorder="1" applyAlignment="1">
      <alignment horizontal="centerContinuous" vertical="center"/>
    </xf>
    <xf numFmtId="165" fontId="2" fillId="0" borderId="0" xfId="0" applyNumberFormat="1" applyFont="1" applyFill="1" applyBorder="1" applyAlignment="1" applyProtection="1">
      <alignment horizontal="centerContinuous" vertical="center"/>
    </xf>
    <xf numFmtId="171" fontId="5" fillId="0" borderId="0" xfId="0" applyNumberFormat="1" applyFont="1" applyFill="1" applyBorder="1" applyAlignment="1">
      <alignment vertical="center"/>
    </xf>
    <xf numFmtId="0" fontId="5" fillId="0" borderId="0" xfId="0" applyNumberFormat="1" applyFont="1" applyFill="1" applyBorder="1" applyAlignment="1" applyProtection="1">
      <alignment horizontal="center" vertical="center"/>
      <protection locked="0"/>
    </xf>
    <xf numFmtId="168" fontId="5" fillId="0" borderId="0" xfId="0" applyNumberFormat="1" applyFont="1" applyFill="1" applyBorder="1" applyAlignment="1" applyProtection="1">
      <alignment horizontal="center" vertical="center"/>
      <protection locked="0"/>
    </xf>
    <xf numFmtId="165" fontId="2" fillId="0" borderId="0" xfId="0" applyFont="1" applyBorder="1"/>
    <xf numFmtId="165" fontId="63" fillId="0" borderId="3" xfId="0" applyFont="1" applyBorder="1" applyAlignment="1">
      <alignment horizontal="center" vertical="center"/>
    </xf>
    <xf numFmtId="165" fontId="64" fillId="0" borderId="3" xfId="0" applyFont="1" applyBorder="1" applyAlignment="1">
      <alignment horizontal="center"/>
    </xf>
    <xf numFmtId="165" fontId="58" fillId="0" borderId="3" xfId="0" applyFont="1" applyBorder="1" applyAlignment="1">
      <alignment horizontal="center"/>
    </xf>
    <xf numFmtId="2" fontId="58" fillId="0" borderId="3" xfId="0" applyNumberFormat="1" applyFont="1" applyBorder="1" applyAlignment="1">
      <alignment horizontal="center"/>
    </xf>
    <xf numFmtId="174" fontId="58" fillId="0" borderId="3" xfId="0" applyNumberFormat="1" applyFont="1" applyBorder="1" applyAlignment="1">
      <alignment horizontal="center"/>
    </xf>
    <xf numFmtId="165" fontId="65" fillId="0" borderId="3" xfId="0" applyFont="1" applyBorder="1" applyAlignment="1">
      <alignment horizontal="center"/>
    </xf>
    <xf numFmtId="165" fontId="66" fillId="0" borderId="3" xfId="0" applyFont="1" applyBorder="1" applyAlignment="1">
      <alignment horizontal="center"/>
    </xf>
    <xf numFmtId="165" fontId="67" fillId="0" borderId="3" xfId="0" applyFont="1" applyBorder="1" applyAlignment="1">
      <alignment horizontal="center"/>
    </xf>
    <xf numFmtId="2" fontId="66" fillId="0" borderId="3" xfId="0" applyNumberFormat="1" applyFont="1" applyBorder="1" applyAlignment="1">
      <alignment horizontal="center"/>
    </xf>
    <xf numFmtId="165" fontId="58" fillId="0" borderId="0" xfId="0" applyFont="1" applyBorder="1"/>
    <xf numFmtId="168" fontId="58" fillId="0" borderId="3" xfId="0" applyNumberFormat="1" applyFont="1" applyBorder="1" applyAlignment="1">
      <alignment horizontal="center"/>
    </xf>
    <xf numFmtId="168" fontId="58" fillId="0" borderId="0" xfId="0" applyNumberFormat="1" applyFont="1" applyBorder="1" applyAlignment="1">
      <alignment horizontal="center"/>
    </xf>
    <xf numFmtId="165" fontId="5" fillId="0" borderId="0" xfId="0" applyFont="1" applyBorder="1"/>
    <xf numFmtId="165" fontId="2" fillId="0" borderId="3" xfId="0" applyFont="1" applyBorder="1" applyAlignment="1">
      <alignment horizontal="center" vertical="center"/>
    </xf>
    <xf numFmtId="165" fontId="2" fillId="0" borderId="3" xfId="0" applyFont="1" applyBorder="1" applyAlignment="1">
      <alignment horizontal="center" vertical="center" wrapText="1"/>
    </xf>
    <xf numFmtId="165" fontId="5" fillId="0" borderId="3" xfId="0" applyFont="1" applyBorder="1" applyAlignment="1">
      <alignment horizontal="center" vertical="center"/>
    </xf>
    <xf numFmtId="4" fontId="5" fillId="0" borderId="3" xfId="0" applyNumberFormat="1" applyFont="1" applyBorder="1" applyAlignment="1">
      <alignment horizontal="center" vertical="center" wrapText="1"/>
    </xf>
    <xf numFmtId="165" fontId="5" fillId="0" borderId="3" xfId="0" applyFont="1" applyBorder="1" applyAlignment="1">
      <alignment horizontal="center"/>
    </xf>
    <xf numFmtId="165" fontId="5" fillId="0" borderId="0" xfId="0" applyFont="1" applyBorder="1" applyAlignment="1">
      <alignment horizontal="center"/>
    </xf>
    <xf numFmtId="4" fontId="5" fillId="0" borderId="0" xfId="0" applyNumberFormat="1" applyFont="1" applyBorder="1" applyAlignment="1">
      <alignment horizontal="center" vertical="center" wrapText="1"/>
    </xf>
    <xf numFmtId="165" fontId="2" fillId="0" borderId="3" xfId="0" applyFont="1" applyBorder="1" applyAlignment="1">
      <alignment horizontal="center"/>
    </xf>
    <xf numFmtId="165" fontId="5" fillId="0" borderId="3" xfId="0" applyFont="1" applyBorder="1" applyAlignment="1">
      <alignment horizontal="left" vertical="center" wrapText="1"/>
    </xf>
    <xf numFmtId="165" fontId="5" fillId="0" borderId="3" xfId="0" applyFont="1" applyBorder="1" applyAlignment="1">
      <alignment horizontal="justify" wrapText="1"/>
    </xf>
    <xf numFmtId="165" fontId="5" fillId="0" borderId="0" xfId="0" applyFont="1" applyBorder="1" applyAlignment="1">
      <alignment horizontal="justify" wrapText="1"/>
    </xf>
    <xf numFmtId="165" fontId="5" fillId="0" borderId="0" xfId="0" applyFont="1" applyBorder="1" applyAlignment="1">
      <alignment wrapText="1"/>
    </xf>
    <xf numFmtId="165" fontId="2" fillId="0" borderId="0" xfId="0" applyFont="1" applyBorder="1" applyAlignment="1">
      <alignment wrapText="1"/>
    </xf>
    <xf numFmtId="165" fontId="2" fillId="0" borderId="3" xfId="0" applyFont="1" applyBorder="1" applyAlignment="1">
      <alignment horizontal="center" wrapText="1"/>
    </xf>
    <xf numFmtId="0" fontId="17" fillId="0" borderId="3" xfId="37" applyFont="1" applyBorder="1"/>
    <xf numFmtId="0" fontId="13" fillId="0" borderId="3" xfId="34" applyFont="1" applyBorder="1" applyAlignment="1">
      <alignment horizontal="center" wrapText="1"/>
    </xf>
    <xf numFmtId="0" fontId="13" fillId="0" borderId="0" xfId="34" applyFont="1"/>
    <xf numFmtId="0" fontId="13" fillId="0" borderId="3" xfId="34" applyFont="1" applyBorder="1" applyAlignment="1">
      <alignment horizontal="center"/>
    </xf>
    <xf numFmtId="0" fontId="13" fillId="0" borderId="3" xfId="34" applyFont="1" applyFill="1" applyBorder="1" applyAlignment="1">
      <alignment horizontal="center" vertical="center" wrapText="1"/>
    </xf>
    <xf numFmtId="164" fontId="13" fillId="0" borderId="3" xfId="37" applyNumberFormat="1" applyFont="1" applyFill="1" applyBorder="1" applyAlignment="1">
      <alignment horizontal="center"/>
    </xf>
    <xf numFmtId="164" fontId="55" fillId="0" borderId="3" xfId="37" applyNumberFormat="1" applyFont="1" applyFill="1" applyBorder="1" applyAlignment="1">
      <alignment horizontal="center"/>
    </xf>
    <xf numFmtId="0" fontId="13" fillId="6" borderId="3" xfId="34" applyFont="1" applyFill="1" applyBorder="1" applyAlignment="1">
      <alignment horizontal="center" vertical="center" wrapText="1"/>
    </xf>
    <xf numFmtId="164" fontId="55" fillId="8" borderId="3" xfId="37" applyNumberFormat="1" applyFont="1" applyFill="1" applyBorder="1" applyAlignment="1">
      <alignment horizontal="center"/>
    </xf>
    <xf numFmtId="0" fontId="68" fillId="0" borderId="0" xfId="21" applyFont="1" applyAlignment="1" applyProtection="1"/>
    <xf numFmtId="0" fontId="13" fillId="0" borderId="0" xfId="34" applyFont="1" applyAlignment="1">
      <alignment horizontal="center"/>
    </xf>
    <xf numFmtId="165" fontId="8" fillId="0" borderId="0" xfId="0" quotePrefix="1" applyNumberFormat="1" applyFont="1" applyFill="1" applyAlignment="1" applyProtection="1">
      <alignment horizontal="centerContinuous" vertical="center"/>
    </xf>
    <xf numFmtId="165" fontId="5" fillId="0" borderId="9" xfId="0" applyFont="1" applyFill="1" applyBorder="1" applyAlignment="1">
      <alignment horizontal="centerContinuous" vertical="center"/>
    </xf>
    <xf numFmtId="175" fontId="5" fillId="0" borderId="9" xfId="0" applyNumberFormat="1" applyFont="1" applyFill="1" applyBorder="1" applyAlignment="1">
      <alignment horizontal="centerContinuous" vertical="center"/>
    </xf>
    <xf numFmtId="10" fontId="6" fillId="0" borderId="12" xfId="0" applyNumberFormat="1" applyFont="1" applyFill="1" applyBorder="1" applyAlignment="1">
      <alignment horizontal="centerContinuous" vertical="center"/>
    </xf>
    <xf numFmtId="165" fontId="8" fillId="0" borderId="8" xfId="0" quotePrefix="1" applyNumberFormat="1" applyFont="1" applyFill="1" applyBorder="1" applyAlignment="1" applyProtection="1">
      <alignment horizontal="centerContinuous" vertical="center"/>
    </xf>
    <xf numFmtId="165" fontId="5" fillId="0" borderId="46" xfId="0" applyFont="1" applyFill="1" applyBorder="1" applyAlignment="1">
      <alignment horizontal="centerContinuous" vertical="center"/>
    </xf>
    <xf numFmtId="175" fontId="5" fillId="0" borderId="46" xfId="0" applyNumberFormat="1" applyFont="1" applyFill="1" applyBorder="1" applyAlignment="1">
      <alignment horizontal="centerContinuous" vertical="center"/>
    </xf>
    <xf numFmtId="165" fontId="5" fillId="10" borderId="0" xfId="0" applyFont="1" applyFill="1" applyBorder="1" applyAlignment="1">
      <alignment vertical="center"/>
    </xf>
    <xf numFmtId="168" fontId="5" fillId="10" borderId="0" xfId="0" applyNumberFormat="1" applyFont="1" applyFill="1" applyBorder="1" applyAlignment="1">
      <alignment vertical="center"/>
    </xf>
    <xf numFmtId="165" fontId="2" fillId="10" borderId="0" xfId="0" applyFont="1" applyFill="1" applyBorder="1" applyAlignment="1">
      <alignment vertical="center"/>
    </xf>
    <xf numFmtId="0" fontId="8" fillId="0" borderId="0" xfId="38" applyFont="1"/>
    <xf numFmtId="165" fontId="0" fillId="0" borderId="0" xfId="0" applyAlignment="1">
      <alignment horizontal="centerContinuous"/>
    </xf>
    <xf numFmtId="165" fontId="69" fillId="0" borderId="0" xfId="0" quotePrefix="1" applyNumberFormat="1" applyFont="1" applyFill="1" applyAlignment="1" applyProtection="1">
      <alignment horizontal="left" vertical="center"/>
    </xf>
    <xf numFmtId="165" fontId="8" fillId="0" borderId="0" xfId="0" applyNumberFormat="1" applyFont="1" applyFill="1" applyAlignment="1" applyProtection="1">
      <alignment horizontal="centerContinuous" vertical="center"/>
    </xf>
    <xf numFmtId="165" fontId="70" fillId="0" borderId="0" xfId="0" quotePrefix="1" applyNumberFormat="1" applyFont="1" applyFill="1" applyAlignment="1" applyProtection="1">
      <alignment horizontal="left" vertical="center"/>
    </xf>
    <xf numFmtId="0" fontId="8" fillId="0" borderId="0" xfId="36" applyFont="1" applyAlignment="1">
      <alignment horizontal="centerContinuous"/>
    </xf>
    <xf numFmtId="0" fontId="29" fillId="0" borderId="0" xfId="36" applyAlignment="1">
      <alignment horizontal="centerContinuous"/>
    </xf>
    <xf numFmtId="0" fontId="29" fillId="0" borderId="0" xfId="37" applyAlignment="1">
      <alignment horizontal="centerContinuous"/>
    </xf>
    <xf numFmtId="165" fontId="69" fillId="0" borderId="0" xfId="0" quotePrefix="1" applyNumberFormat="1" applyFont="1" applyFill="1" applyBorder="1" applyAlignment="1" applyProtection="1">
      <alignment horizontal="left" vertical="center"/>
    </xf>
    <xf numFmtId="165" fontId="69" fillId="0" borderId="0" xfId="0" applyNumberFormat="1" applyFont="1" applyFill="1" applyBorder="1" applyAlignment="1" applyProtection="1">
      <alignment horizontal="left" vertical="center"/>
    </xf>
    <xf numFmtId="1" fontId="1" fillId="0" borderId="0" xfId="45" quotePrefix="1" applyNumberFormat="1" applyAlignment="1">
      <alignment horizontal="center"/>
    </xf>
    <xf numFmtId="165" fontId="69" fillId="10" borderId="0" xfId="0" applyNumberFormat="1" applyFont="1" applyFill="1" applyBorder="1" applyAlignment="1" applyProtection="1">
      <alignment horizontal="left" vertical="center"/>
    </xf>
    <xf numFmtId="0" fontId="29" fillId="10" borderId="0" xfId="37" applyFill="1"/>
    <xf numFmtId="0" fontId="1" fillId="10" borderId="0" xfId="34" applyFill="1"/>
    <xf numFmtId="0" fontId="29" fillId="12" borderId="0" xfId="38" applyFill="1"/>
    <xf numFmtId="0" fontId="29" fillId="13" borderId="0" xfId="38" applyFill="1"/>
    <xf numFmtId="9" fontId="29" fillId="0" borderId="3" xfId="38" quotePrefix="1" applyNumberFormat="1" applyFont="1" applyBorder="1" applyAlignment="1">
      <alignment horizontal="center"/>
    </xf>
    <xf numFmtId="164" fontId="29" fillId="0" borderId="3" xfId="38" quotePrefix="1" applyNumberFormat="1" applyFont="1" applyBorder="1" applyAlignment="1">
      <alignment horizontal="center"/>
    </xf>
    <xf numFmtId="10" fontId="5" fillId="0" borderId="0" xfId="0" applyNumberFormat="1" applyFont="1" applyFill="1" applyAlignment="1">
      <alignment horizontal="center" vertical="center"/>
    </xf>
    <xf numFmtId="10" fontId="5" fillId="0" borderId="46" xfId="0" applyNumberFormat="1" applyFont="1" applyFill="1" applyBorder="1" applyAlignment="1">
      <alignment horizontal="centerContinuous" vertical="center"/>
    </xf>
    <xf numFmtId="10" fontId="9" fillId="0" borderId="11" xfId="0" applyNumberFormat="1" applyFont="1" applyFill="1" applyBorder="1" applyAlignment="1" applyProtection="1">
      <alignment horizontal="center" vertical="center"/>
    </xf>
    <xf numFmtId="165" fontId="17" fillId="0" borderId="0" xfId="0" applyNumberFormat="1" applyFont="1" applyFill="1" applyBorder="1" applyAlignment="1" applyProtection="1">
      <alignment horizontal="left" vertical="center"/>
    </xf>
    <xf numFmtId="10" fontId="6" fillId="0" borderId="14" xfId="38" applyNumberFormat="1" applyFont="1" applyFill="1" applyBorder="1" applyAlignment="1">
      <alignment horizontal="center" vertical="center"/>
    </xf>
    <xf numFmtId="10" fontId="6" fillId="0" borderId="7" xfId="38" applyNumberFormat="1" applyFont="1" applyFill="1" applyBorder="1" applyAlignment="1">
      <alignment horizontal="center" vertical="center"/>
    </xf>
    <xf numFmtId="0" fontId="53" fillId="0" borderId="0" xfId="38" applyFont="1" applyAlignment="1">
      <alignment horizontal="right"/>
    </xf>
    <xf numFmtId="0" fontId="1" fillId="0" borderId="0" xfId="38" applyFont="1" applyBorder="1" applyAlignment="1"/>
    <xf numFmtId="165" fontId="60" fillId="0" borderId="4" xfId="0" applyNumberFormat="1" applyFont="1" applyFill="1" applyBorder="1" applyAlignment="1" applyProtection="1">
      <alignment horizontal="center" vertical="center"/>
    </xf>
    <xf numFmtId="10" fontId="17" fillId="0" borderId="4" xfId="0" applyNumberFormat="1" applyFont="1" applyFill="1" applyBorder="1" applyAlignment="1" applyProtection="1">
      <alignment horizontal="left" vertical="center"/>
    </xf>
    <xf numFmtId="0" fontId="73" fillId="0" borderId="3" xfId="38" applyFont="1" applyBorder="1" applyAlignment="1">
      <alignment horizontal="center"/>
    </xf>
    <xf numFmtId="0" fontId="6" fillId="0" borderId="0" xfId="36" applyFont="1"/>
    <xf numFmtId="169" fontId="6" fillId="0" borderId="7" xfId="36" applyNumberFormat="1" applyFont="1" applyFill="1" applyBorder="1" applyAlignment="1" applyProtection="1">
      <alignment horizontal="center" vertical="center"/>
    </xf>
    <xf numFmtId="2" fontId="71" fillId="0" borderId="7" xfId="36" applyNumberFormat="1" applyFont="1" applyFill="1" applyBorder="1" applyAlignment="1" applyProtection="1">
      <alignment horizontal="center" vertical="center"/>
    </xf>
    <xf numFmtId="0" fontId="9" fillId="0" borderId="3" xfId="36" applyFont="1" applyFill="1" applyBorder="1" applyAlignment="1">
      <alignment horizontal="center" vertical="center" wrapText="1"/>
    </xf>
    <xf numFmtId="0" fontId="9" fillId="0" borderId="5" xfId="36" applyFont="1" applyFill="1" applyBorder="1" applyAlignment="1">
      <alignment horizontal="center" vertical="center" wrapText="1"/>
    </xf>
    <xf numFmtId="165" fontId="9" fillId="0" borderId="3" xfId="36" applyNumberFormat="1" applyFont="1" applyFill="1" applyBorder="1" applyAlignment="1" applyProtection="1">
      <alignment horizontal="center" vertical="center" wrapText="1"/>
    </xf>
    <xf numFmtId="165" fontId="9" fillId="0" borderId="2" xfId="36" applyNumberFormat="1" applyFont="1" applyFill="1" applyBorder="1" applyAlignment="1" applyProtection="1">
      <alignment horizontal="center" vertical="center" wrapText="1"/>
    </xf>
    <xf numFmtId="0" fontId="6" fillId="0" borderId="3" xfId="36" applyFont="1" applyFill="1" applyBorder="1" applyAlignment="1">
      <alignment vertical="center"/>
    </xf>
    <xf numFmtId="0" fontId="6" fillId="0" borderId="5" xfId="36" applyFont="1" applyFill="1" applyBorder="1" applyAlignment="1">
      <alignment vertical="center"/>
    </xf>
    <xf numFmtId="168" fontId="50" fillId="6" borderId="3" xfId="36" applyNumberFormat="1" applyFont="1" applyFill="1" applyBorder="1" applyAlignment="1" applyProtection="1">
      <alignment horizontal="center" vertical="center"/>
      <protection locked="0"/>
    </xf>
    <xf numFmtId="168" fontId="50" fillId="0" borderId="3" xfId="36" applyNumberFormat="1" applyFont="1" applyFill="1" applyBorder="1" applyAlignment="1" applyProtection="1">
      <alignment horizontal="center" vertical="center"/>
      <protection locked="0"/>
    </xf>
    <xf numFmtId="168" fontId="6" fillId="0" borderId="3" xfId="36" applyNumberFormat="1" applyFont="1" applyFill="1" applyBorder="1" applyAlignment="1" applyProtection="1">
      <alignment horizontal="center" vertical="center"/>
    </xf>
    <xf numFmtId="2" fontId="6" fillId="9" borderId="2" xfId="36" applyNumberFormat="1" applyFont="1" applyFill="1" applyBorder="1" applyAlignment="1" applyProtection="1">
      <alignment horizontal="center" vertical="center"/>
      <protection locked="0"/>
    </xf>
    <xf numFmtId="2" fontId="6" fillId="9" borderId="3" xfId="36" applyNumberFormat="1" applyFont="1" applyFill="1" applyBorder="1" applyAlignment="1" applyProtection="1">
      <alignment horizontal="center" vertical="center"/>
      <protection locked="0"/>
    </xf>
    <xf numFmtId="168" fontId="6" fillId="2" borderId="3" xfId="36" applyNumberFormat="1" applyFont="1" applyFill="1" applyBorder="1" applyAlignment="1" applyProtection="1">
      <alignment horizontal="center" vertical="center"/>
    </xf>
    <xf numFmtId="2" fontId="6" fillId="0" borderId="2" xfId="36" applyNumberFormat="1" applyFont="1" applyFill="1" applyBorder="1" applyAlignment="1" applyProtection="1">
      <alignment horizontal="center" vertical="center"/>
      <protection locked="0"/>
    </xf>
    <xf numFmtId="2" fontId="6" fillId="0" borderId="3" xfId="36" applyNumberFormat="1" applyFont="1" applyFill="1" applyBorder="1" applyAlignment="1" applyProtection="1">
      <alignment horizontal="center" vertical="center"/>
      <protection locked="0"/>
    </xf>
    <xf numFmtId="168" fontId="6" fillId="6" borderId="3" xfId="36" applyNumberFormat="1" applyFont="1" applyFill="1" applyBorder="1" applyAlignment="1" applyProtection="1">
      <alignment horizontal="center" vertical="center"/>
      <protection locked="0"/>
    </xf>
    <xf numFmtId="165" fontId="9" fillId="0" borderId="6" xfId="36" applyNumberFormat="1" applyFont="1" applyFill="1" applyBorder="1" applyAlignment="1" applyProtection="1">
      <alignment horizontal="center" vertical="center" wrapText="1"/>
    </xf>
    <xf numFmtId="165" fontId="72" fillId="0" borderId="40" xfId="0" applyNumberFormat="1" applyFont="1" applyFill="1" applyBorder="1" applyAlignment="1" applyProtection="1">
      <alignment horizontal="center" vertical="center"/>
    </xf>
    <xf numFmtId="165" fontId="72" fillId="0" borderId="10" xfId="0" applyNumberFormat="1" applyFont="1" applyFill="1" applyBorder="1" applyAlignment="1" applyProtection="1">
      <alignment horizontal="left" vertical="center"/>
    </xf>
    <xf numFmtId="173" fontId="6" fillId="0" borderId="6" xfId="36" applyNumberFormat="1" applyFont="1" applyFill="1" applyBorder="1" applyAlignment="1" applyProtection="1">
      <alignment horizontal="center" vertical="center"/>
    </xf>
    <xf numFmtId="14" fontId="6" fillId="0" borderId="3" xfId="36" quotePrefix="1" applyNumberFormat="1" applyFont="1" applyFill="1" applyBorder="1" applyAlignment="1">
      <alignment horizontal="center" vertical="center"/>
    </xf>
    <xf numFmtId="0" fontId="32" fillId="0" borderId="0" xfId="38" applyFont="1" applyAlignment="1">
      <alignment horizontal="right" vertical="center"/>
    </xf>
    <xf numFmtId="10" fontId="5" fillId="12" borderId="0" xfId="0" applyNumberFormat="1" applyFont="1" applyFill="1" applyAlignment="1">
      <alignment vertical="center"/>
    </xf>
    <xf numFmtId="165" fontId="5" fillId="12" borderId="0" xfId="0" applyFont="1" applyFill="1" applyBorder="1" applyAlignment="1">
      <alignment vertical="center"/>
    </xf>
    <xf numFmtId="0" fontId="32" fillId="12" borderId="0" xfId="38" applyFont="1" applyFill="1" applyAlignment="1">
      <alignment vertical="center"/>
    </xf>
    <xf numFmtId="175" fontId="5" fillId="0" borderId="0" xfId="0" applyNumberFormat="1" applyFont="1" applyFill="1" applyAlignment="1">
      <alignment vertical="center"/>
    </xf>
    <xf numFmtId="0" fontId="32" fillId="13" borderId="0" xfId="38" applyFont="1" applyFill="1" applyAlignment="1">
      <alignment vertical="center"/>
    </xf>
    <xf numFmtId="191" fontId="9" fillId="10" borderId="7" xfId="36" applyNumberFormat="1" applyFont="1" applyFill="1" applyBorder="1" applyAlignment="1" applyProtection="1">
      <alignment horizontal="center" vertical="center"/>
    </xf>
    <xf numFmtId="14" fontId="9" fillId="10" borderId="7" xfId="36" applyNumberFormat="1" applyFont="1" applyFill="1" applyBorder="1" applyAlignment="1" applyProtection="1">
      <alignment horizontal="center" vertical="center"/>
    </xf>
    <xf numFmtId="165" fontId="72" fillId="0" borderId="4" xfId="36" applyNumberFormat="1" applyFont="1" applyFill="1" applyBorder="1" applyAlignment="1" applyProtection="1">
      <alignment horizontal="center" vertical="center"/>
    </xf>
    <xf numFmtId="0" fontId="31" fillId="0" borderId="3" xfId="36" applyFont="1" applyFill="1" applyBorder="1" applyAlignment="1">
      <alignment horizontal="center" vertical="center" wrapText="1"/>
    </xf>
    <xf numFmtId="0" fontId="6" fillId="10" borderId="5" xfId="36" applyFont="1" applyFill="1" applyBorder="1"/>
    <xf numFmtId="0" fontId="6" fillId="10" borderId="2" xfId="36" applyFont="1" applyFill="1" applyBorder="1" applyAlignment="1">
      <alignment horizontal="right"/>
    </xf>
    <xf numFmtId="0" fontId="6" fillId="10" borderId="6" xfId="36" applyFont="1" applyFill="1" applyBorder="1" applyAlignment="1">
      <alignment horizontal="right"/>
    </xf>
    <xf numFmtId="165" fontId="5" fillId="0" borderId="46" xfId="0" applyFont="1" applyFill="1" applyBorder="1" applyAlignment="1">
      <alignment horizontal="center" vertical="center"/>
    </xf>
    <xf numFmtId="175" fontId="5" fillId="0" borderId="0" xfId="0" applyNumberFormat="1" applyFont="1" applyFill="1" applyBorder="1" applyAlignment="1">
      <alignment horizontal="left" vertical="center"/>
    </xf>
    <xf numFmtId="0" fontId="1" fillId="0" borderId="0" xfId="36" applyFont="1"/>
    <xf numFmtId="169" fontId="1" fillId="0" borderId="0" xfId="36" applyNumberFormat="1" applyFont="1" applyAlignment="1">
      <alignment horizontal="left"/>
    </xf>
    <xf numFmtId="168" fontId="71" fillId="10" borderId="3" xfId="36" applyNumberFormat="1" applyFont="1" applyFill="1" applyBorder="1" applyAlignment="1" applyProtection="1">
      <alignment horizontal="center" vertical="center"/>
    </xf>
    <xf numFmtId="0" fontId="9" fillId="0" borderId="0" xfId="36" applyFont="1"/>
    <xf numFmtId="0" fontId="9" fillId="10" borderId="0" xfId="36" applyFont="1" applyFill="1"/>
    <xf numFmtId="0" fontId="1" fillId="10" borderId="0" xfId="36" applyFont="1" applyFill="1"/>
    <xf numFmtId="168" fontId="71" fillId="0" borderId="7" xfId="36" applyNumberFormat="1" applyFont="1" applyFill="1" applyBorder="1" applyAlignment="1" applyProtection="1">
      <alignment horizontal="center" vertical="center"/>
    </xf>
    <xf numFmtId="2" fontId="51" fillId="10" borderId="3" xfId="0" applyNumberFormat="1" applyFont="1" applyFill="1" applyBorder="1" applyAlignment="1">
      <alignment horizontal="center" vertical="center"/>
    </xf>
    <xf numFmtId="2" fontId="51" fillId="10" borderId="3" xfId="0" applyNumberFormat="1" applyFont="1" applyFill="1" applyBorder="1" applyAlignment="1" applyProtection="1">
      <alignment horizontal="center" vertical="center"/>
    </xf>
    <xf numFmtId="166" fontId="5" fillId="0" borderId="0" xfId="0" applyNumberFormat="1" applyFont="1" applyFill="1" applyAlignment="1">
      <alignment vertical="center"/>
    </xf>
    <xf numFmtId="165" fontId="5" fillId="0" borderId="0" xfId="0" applyFont="1" applyFill="1" applyAlignment="1">
      <alignment horizontal="right" vertical="center"/>
    </xf>
    <xf numFmtId="166" fontId="5" fillId="0" borderId="0" xfId="0" applyNumberFormat="1" applyFont="1" applyFill="1" applyBorder="1" applyAlignment="1">
      <alignment horizontal="center" vertical="center"/>
    </xf>
    <xf numFmtId="165" fontId="5" fillId="10" borderId="0" xfId="0" applyFont="1" applyFill="1" applyBorder="1" applyAlignment="1">
      <alignment horizontal="center" vertical="center"/>
    </xf>
    <xf numFmtId="165" fontId="5" fillId="10" borderId="0" xfId="0" applyFont="1" applyFill="1" applyAlignment="1">
      <alignment horizontal="center" vertical="center"/>
    </xf>
    <xf numFmtId="165" fontId="7" fillId="0" borderId="0" xfId="0" applyFont="1" applyFill="1" applyAlignment="1">
      <alignment horizontal="center" vertical="center"/>
    </xf>
    <xf numFmtId="165" fontId="5" fillId="0" borderId="0" xfId="0" applyNumberFormat="1" applyFont="1" applyFill="1" applyBorder="1" applyAlignment="1">
      <alignment vertical="center"/>
    </xf>
    <xf numFmtId="9" fontId="5" fillId="0" borderId="0" xfId="45" applyFont="1" applyFill="1" applyAlignment="1">
      <alignment vertical="center"/>
    </xf>
    <xf numFmtId="164" fontId="5" fillId="0" borderId="0" xfId="45" applyNumberFormat="1" applyFont="1" applyFill="1" applyBorder="1" applyAlignment="1">
      <alignment vertical="center"/>
    </xf>
    <xf numFmtId="2" fontId="5" fillId="0" borderId="0" xfId="0" applyNumberFormat="1" applyFont="1" applyFill="1" applyAlignment="1">
      <alignment vertical="center"/>
    </xf>
    <xf numFmtId="165" fontId="5" fillId="0" borderId="3" xfId="0" applyFont="1" applyBorder="1" applyAlignment="1">
      <alignment horizontal="left" vertical="top" wrapText="1"/>
    </xf>
    <xf numFmtId="14" fontId="5" fillId="0" borderId="10" xfId="0" applyNumberFormat="1" applyFont="1" applyFill="1" applyBorder="1" applyAlignment="1">
      <alignment horizontal="center" vertical="center"/>
    </xf>
    <xf numFmtId="10" fontId="2" fillId="0" borderId="3" xfId="0" applyNumberFormat="1" applyFont="1" applyFill="1" applyBorder="1" applyAlignment="1">
      <alignment horizontal="center" vertical="center"/>
    </xf>
    <xf numFmtId="14" fontId="5" fillId="0" borderId="10" xfId="0" applyNumberFormat="1" applyFont="1" applyFill="1" applyBorder="1" applyAlignment="1" applyProtection="1">
      <alignment horizontal="center" vertical="center"/>
      <protection locked="0"/>
    </xf>
    <xf numFmtId="165" fontId="13" fillId="0" borderId="0" xfId="0" applyFont="1" applyFill="1" applyAlignment="1">
      <alignment vertical="center"/>
    </xf>
    <xf numFmtId="165" fontId="77" fillId="0" borderId="11" xfId="0" applyFont="1" applyBorder="1" applyAlignment="1">
      <alignment horizontal="center" vertical="center"/>
    </xf>
    <xf numFmtId="165" fontId="77" fillId="0" borderId="3" xfId="0" applyFont="1" applyBorder="1" applyAlignment="1">
      <alignment horizontal="center" vertical="center"/>
    </xf>
    <xf numFmtId="165" fontId="27" fillId="0" borderId="3" xfId="0" applyFont="1" applyBorder="1" applyAlignment="1">
      <alignment vertical="center"/>
    </xf>
    <xf numFmtId="165" fontId="27" fillId="0" borderId="3" xfId="0" applyFont="1" applyBorder="1" applyAlignment="1">
      <alignment horizontal="center" vertical="center"/>
    </xf>
    <xf numFmtId="165" fontId="78" fillId="0" borderId="3" xfId="0" applyFont="1" applyBorder="1" applyAlignment="1">
      <alignment horizontal="center" vertical="center"/>
    </xf>
    <xf numFmtId="165" fontId="78" fillId="14" borderId="3" xfId="0" applyFont="1" applyFill="1" applyBorder="1" applyAlignment="1">
      <alignment horizontal="center" vertical="center"/>
    </xf>
    <xf numFmtId="9" fontId="29" fillId="0" borderId="3" xfId="38" quotePrefix="1" applyNumberFormat="1" applyFont="1" applyFill="1" applyBorder="1" applyAlignment="1">
      <alignment horizontal="center"/>
    </xf>
    <xf numFmtId="164" fontId="29" fillId="0" borderId="3" xfId="38" quotePrefix="1" applyNumberFormat="1" applyFont="1" applyFill="1" applyBorder="1" applyAlignment="1">
      <alignment horizontal="center"/>
    </xf>
    <xf numFmtId="165" fontId="3" fillId="0" borderId="15" xfId="0" applyNumberFormat="1" applyFont="1" applyFill="1" applyBorder="1" applyAlignment="1" applyProtection="1">
      <alignment vertical="center"/>
    </xf>
    <xf numFmtId="170" fontId="5" fillId="0" borderId="0" xfId="0" applyNumberFormat="1" applyFont="1" applyFill="1" applyBorder="1" applyAlignment="1" applyProtection="1">
      <alignment horizontal="left" vertical="center"/>
    </xf>
    <xf numFmtId="170" fontId="5" fillId="0" borderId="0" xfId="0" applyNumberFormat="1" applyFont="1" applyFill="1" applyBorder="1" applyAlignment="1" applyProtection="1">
      <alignment horizontal="left" vertical="center"/>
      <protection locked="0"/>
    </xf>
    <xf numFmtId="165" fontId="5" fillId="0" borderId="11" xfId="0" applyFont="1" applyBorder="1" applyAlignment="1">
      <alignment horizontal="left" vertical="top" wrapText="1"/>
    </xf>
    <xf numFmtId="2" fontId="5" fillId="0" borderId="11" xfId="0" applyNumberFormat="1" applyFont="1" applyBorder="1" applyAlignment="1">
      <alignment horizontal="center" wrapText="1"/>
    </xf>
    <xf numFmtId="2" fontId="5" fillId="0" borderId="48" xfId="0" applyNumberFormat="1" applyFont="1" applyBorder="1" applyAlignment="1">
      <alignment horizontal="center" wrapText="1"/>
    </xf>
    <xf numFmtId="165" fontId="5" fillId="0" borderId="47" xfId="0" applyFont="1" applyBorder="1" applyAlignment="1">
      <alignment vertical="top" wrapText="1"/>
    </xf>
    <xf numFmtId="165" fontId="5" fillId="0" borderId="49" xfId="0" applyFont="1" applyBorder="1" applyAlignment="1">
      <alignment vertical="top" wrapText="1"/>
    </xf>
    <xf numFmtId="165" fontId="5" fillId="0" borderId="49" xfId="0" applyFont="1" applyBorder="1" applyAlignment="1">
      <alignment horizontal="left" vertical="top" wrapText="1"/>
    </xf>
    <xf numFmtId="165" fontId="5" fillId="0" borderId="50" xfId="0" applyFont="1" applyBorder="1" applyAlignment="1">
      <alignment horizontal="left" vertical="top" wrapText="1"/>
    </xf>
    <xf numFmtId="165" fontId="5" fillId="0" borderId="52" xfId="0" applyFont="1" applyBorder="1" applyAlignment="1">
      <alignment vertical="top" wrapText="1"/>
    </xf>
    <xf numFmtId="165" fontId="5" fillId="0" borderId="6" xfId="0" applyFont="1" applyBorder="1" applyAlignment="1">
      <alignment vertical="top" wrapText="1"/>
    </xf>
    <xf numFmtId="165" fontId="5" fillId="0" borderId="51" xfId="0" applyFont="1" applyBorder="1" applyAlignment="1">
      <alignment vertical="top"/>
    </xf>
    <xf numFmtId="165" fontId="5" fillId="0" borderId="5" xfId="0" applyFont="1" applyBorder="1" applyAlignment="1">
      <alignment vertical="top"/>
    </xf>
    <xf numFmtId="0" fontId="0" fillId="0" borderId="0" xfId="0" applyNumberFormat="1" applyFill="1"/>
    <xf numFmtId="0" fontId="5" fillId="0" borderId="30" xfId="0" applyNumberFormat="1" applyFont="1" applyBorder="1" applyAlignment="1">
      <alignment vertical="top"/>
    </xf>
    <xf numFmtId="10" fontId="1" fillId="0" borderId="3" xfId="38" applyNumberFormat="1" applyFont="1" applyFill="1" applyBorder="1" applyAlignment="1">
      <alignment horizontal="center"/>
    </xf>
    <xf numFmtId="167" fontId="58" fillId="10" borderId="7" xfId="0" applyNumberFormat="1" applyFont="1" applyFill="1" applyBorder="1" applyAlignment="1">
      <alignment horizontal="center"/>
    </xf>
    <xf numFmtId="167" fontId="5" fillId="10" borderId="7" xfId="0" applyNumberFormat="1" applyFont="1" applyFill="1" applyBorder="1" applyAlignment="1">
      <alignment horizontal="center"/>
    </xf>
    <xf numFmtId="165" fontId="3" fillId="0" borderId="15" xfId="0" quotePrefix="1" applyNumberFormat="1" applyFont="1" applyFill="1" applyBorder="1" applyAlignment="1" applyProtection="1">
      <alignment vertical="center"/>
    </xf>
    <xf numFmtId="165" fontId="3" fillId="0" borderId="5" xfId="0" quotePrefix="1" applyNumberFormat="1" applyFont="1" applyFill="1" applyBorder="1" applyAlignment="1" applyProtection="1">
      <alignment vertical="center"/>
    </xf>
    <xf numFmtId="167" fontId="6" fillId="0" borderId="5" xfId="0" applyNumberFormat="1" applyFont="1" applyFill="1" applyBorder="1" applyAlignment="1" applyProtection="1">
      <alignment horizontal="center" vertical="center"/>
      <protection locked="0"/>
    </xf>
    <xf numFmtId="167" fontId="6" fillId="0" borderId="3" xfId="0" applyNumberFormat="1" applyFont="1" applyFill="1" applyBorder="1" applyAlignment="1" applyProtection="1">
      <alignment horizontal="center" vertical="center"/>
    </xf>
    <xf numFmtId="10" fontId="6" fillId="0" borderId="3" xfId="38" applyNumberFormat="1" applyFont="1" applyFill="1" applyBorder="1" applyAlignment="1">
      <alignment horizontal="center" vertical="center"/>
    </xf>
    <xf numFmtId="10" fontId="29" fillId="0" borderId="3" xfId="38" applyNumberFormat="1" applyFont="1" applyFill="1" applyBorder="1" applyAlignment="1">
      <alignment horizontal="center"/>
    </xf>
    <xf numFmtId="2" fontId="50" fillId="0" borderId="3" xfId="36" applyNumberFormat="1" applyFont="1" applyFill="1" applyBorder="1" applyAlignment="1" applyProtection="1">
      <alignment horizontal="center" vertical="center"/>
      <protection locked="0"/>
    </xf>
    <xf numFmtId="165" fontId="3" fillId="0" borderId="3" xfId="36" applyNumberFormat="1" applyFont="1" applyFill="1" applyBorder="1" applyAlignment="1" applyProtection="1">
      <alignment horizontal="center" vertical="center" wrapText="1"/>
    </xf>
    <xf numFmtId="0" fontId="1" fillId="0" borderId="3" xfId="36" applyFont="1" applyFill="1" applyBorder="1" applyAlignment="1">
      <alignment vertical="center"/>
    </xf>
    <xf numFmtId="168" fontId="46" fillId="6" borderId="3" xfId="36" applyNumberFormat="1" applyFont="1" applyFill="1" applyBorder="1" applyAlignment="1" applyProtection="1">
      <alignment horizontal="center" vertical="center"/>
      <protection locked="0"/>
    </xf>
    <xf numFmtId="168" fontId="46" fillId="0" borderId="3" xfId="36" applyNumberFormat="1" applyFont="1" applyFill="1" applyBorder="1" applyAlignment="1" applyProtection="1">
      <alignment horizontal="center" vertical="center"/>
      <protection locked="0"/>
    </xf>
    <xf numFmtId="9" fontId="46" fillId="6" borderId="3" xfId="45" applyFont="1" applyFill="1" applyBorder="1" applyAlignment="1" applyProtection="1">
      <alignment horizontal="center" vertical="center"/>
      <protection locked="0"/>
    </xf>
    <xf numFmtId="9" fontId="46" fillId="0" borderId="3" xfId="45" applyFont="1" applyFill="1" applyBorder="1" applyAlignment="1" applyProtection="1">
      <alignment horizontal="center" vertical="center"/>
      <protection locked="0"/>
    </xf>
    <xf numFmtId="168" fontId="1" fillId="6" borderId="3" xfId="36" applyNumberFormat="1" applyFont="1" applyFill="1" applyBorder="1" applyAlignment="1" applyProtection="1">
      <alignment horizontal="center" vertical="center"/>
      <protection locked="0"/>
    </xf>
    <xf numFmtId="9" fontId="1" fillId="6" borderId="3" xfId="45" applyFont="1" applyFill="1" applyBorder="1" applyAlignment="1" applyProtection="1">
      <alignment horizontal="center" vertical="center"/>
      <protection locked="0"/>
    </xf>
    <xf numFmtId="0" fontId="1" fillId="0" borderId="0" xfId="0" applyNumberFormat="1" applyFont="1"/>
    <xf numFmtId="0" fontId="3" fillId="0" borderId="0" xfId="38" applyFont="1" applyAlignment="1"/>
    <xf numFmtId="0" fontId="1" fillId="0" borderId="0" xfId="38" applyFont="1" applyAlignment="1">
      <alignment horizontal="left"/>
    </xf>
    <xf numFmtId="0" fontId="3" fillId="0" borderId="0" xfId="38" applyFont="1" applyAlignment="1">
      <alignment horizontal="right"/>
    </xf>
    <xf numFmtId="169" fontId="6" fillId="0" borderId="3" xfId="36" applyNumberFormat="1" applyFont="1" applyFill="1" applyBorder="1" applyAlignment="1" applyProtection="1">
      <alignment horizontal="center" vertical="center"/>
    </xf>
    <xf numFmtId="14" fontId="6" fillId="0" borderId="7" xfId="36" applyNumberFormat="1" applyFont="1" applyFill="1" applyBorder="1" applyAlignment="1" applyProtection="1">
      <alignment horizontal="center" vertical="center"/>
    </xf>
    <xf numFmtId="170" fontId="6" fillId="0" borderId="3" xfId="36" applyNumberFormat="1" applyFont="1" applyFill="1" applyBorder="1" applyAlignment="1" applyProtection="1">
      <alignment horizontal="center" vertical="center"/>
    </xf>
    <xf numFmtId="165" fontId="31" fillId="0" borderId="5" xfId="36" applyNumberFormat="1" applyFont="1" applyFill="1" applyBorder="1" applyAlignment="1" applyProtection="1">
      <alignment vertical="center"/>
    </xf>
    <xf numFmtId="2" fontId="71" fillId="15" borderId="3" xfId="36" applyNumberFormat="1" applyFont="1" applyFill="1" applyBorder="1" applyAlignment="1" applyProtection="1">
      <alignment horizontal="center" vertical="center"/>
      <protection locked="0"/>
    </xf>
    <xf numFmtId="168" fontId="71" fillId="2" borderId="3" xfId="36" applyNumberFormat="1" applyFont="1" applyFill="1" applyBorder="1" applyAlignment="1" applyProtection="1">
      <alignment horizontal="center" vertical="center"/>
    </xf>
    <xf numFmtId="168" fontId="51" fillId="0" borderId="3" xfId="0" applyNumberFormat="1" applyFont="1" applyFill="1" applyBorder="1" applyAlignment="1">
      <alignment horizontal="center" vertical="center"/>
    </xf>
    <xf numFmtId="168" fontId="5" fillId="0" borderId="3" xfId="0" applyNumberFormat="1" applyFont="1" applyBorder="1" applyAlignment="1">
      <alignment horizontal="center" wrapText="1"/>
    </xf>
    <xf numFmtId="168" fontId="5" fillId="0" borderId="3" xfId="0" applyNumberFormat="1" applyFont="1" applyFill="1" applyBorder="1" applyAlignment="1">
      <alignment horizontal="center" wrapText="1"/>
    </xf>
    <xf numFmtId="168" fontId="5" fillId="10" borderId="3" xfId="0" applyNumberFormat="1" applyFont="1" applyFill="1" applyBorder="1" applyAlignment="1">
      <alignment horizontal="center" wrapText="1"/>
    </xf>
    <xf numFmtId="168" fontId="5" fillId="10" borderId="11" xfId="0" applyNumberFormat="1" applyFont="1" applyFill="1" applyBorder="1" applyAlignment="1">
      <alignment horizontal="center" wrapText="1"/>
    </xf>
    <xf numFmtId="168" fontId="5" fillId="10" borderId="31" xfId="0" applyNumberFormat="1" applyFont="1" applyFill="1" applyBorder="1" applyAlignment="1">
      <alignment horizontal="center" wrapText="1"/>
    </xf>
    <xf numFmtId="168" fontId="5" fillId="0" borderId="33" xfId="0" applyNumberFormat="1" applyFont="1" applyBorder="1" applyAlignment="1">
      <alignment horizontal="center" wrapText="1"/>
    </xf>
    <xf numFmtId="2" fontId="71" fillId="15" borderId="2" xfId="36" applyNumberFormat="1" applyFont="1" applyFill="1" applyBorder="1" applyAlignment="1" applyProtection="1">
      <alignment horizontal="center" vertical="center"/>
      <protection locked="0"/>
    </xf>
    <xf numFmtId="0" fontId="79" fillId="0" borderId="0" xfId="38" applyFont="1"/>
    <xf numFmtId="0" fontId="29" fillId="0" borderId="0" xfId="38" applyBorder="1"/>
    <xf numFmtId="168" fontId="46" fillId="16" borderId="3" xfId="36" applyNumberFormat="1" applyFont="1" applyFill="1" applyBorder="1" applyAlignment="1" applyProtection="1">
      <alignment horizontal="center" vertical="center"/>
      <protection locked="0"/>
    </xf>
    <xf numFmtId="168" fontId="1" fillId="16" borderId="3" xfId="36" applyNumberFormat="1" applyFont="1" applyFill="1" applyBorder="1" applyAlignment="1" applyProtection="1">
      <alignment horizontal="center" vertical="center"/>
    </xf>
    <xf numFmtId="9" fontId="46" fillId="16" borderId="3" xfId="45" applyFont="1" applyFill="1" applyBorder="1" applyAlignment="1" applyProtection="1">
      <alignment horizontal="center" vertical="center"/>
      <protection locked="0"/>
    </xf>
    <xf numFmtId="9" fontId="1" fillId="16" borderId="3" xfId="45" applyFont="1" applyFill="1" applyBorder="1" applyAlignment="1" applyProtection="1">
      <alignment horizontal="center" vertical="center"/>
    </xf>
    <xf numFmtId="0" fontId="73" fillId="0" borderId="0" xfId="38" applyFont="1" applyBorder="1"/>
    <xf numFmtId="0" fontId="1" fillId="0" borderId="0" xfId="38" quotePrefix="1" applyFont="1" applyBorder="1"/>
    <xf numFmtId="0" fontId="1" fillId="0" borderId="0" xfId="38" quotePrefix="1" applyNumberFormat="1" applyFont="1" applyBorder="1"/>
    <xf numFmtId="0" fontId="1" fillId="0" borderId="0" xfId="38" quotePrefix="1" applyFont="1"/>
    <xf numFmtId="170" fontId="22" fillId="0" borderId="3" xfId="36" applyNumberFormat="1" applyFont="1" applyFill="1" applyBorder="1" applyAlignment="1" applyProtection="1">
      <alignment horizontal="left" vertical="center"/>
    </xf>
    <xf numFmtId="0" fontId="7" fillId="0" borderId="0" xfId="36" applyFont="1"/>
    <xf numFmtId="0" fontId="80" fillId="10" borderId="0" xfId="36" applyFont="1" applyFill="1"/>
    <xf numFmtId="0" fontId="81" fillId="10" borderId="0" xfId="36" applyFont="1" applyFill="1"/>
    <xf numFmtId="173" fontId="6" fillId="0" borderId="46" xfId="36" applyNumberFormat="1" applyFont="1" applyFill="1" applyBorder="1" applyAlignment="1" applyProtection="1">
      <alignment horizontal="center" vertical="center"/>
    </xf>
    <xf numFmtId="0" fontId="5" fillId="0" borderId="0" xfId="0" applyNumberFormat="1" applyFont="1" applyFill="1" applyAlignment="1">
      <alignment vertical="center"/>
    </xf>
    <xf numFmtId="10" fontId="29" fillId="0" borderId="5" xfId="38" applyNumberFormat="1" applyFont="1" applyFill="1" applyBorder="1" applyAlignment="1">
      <alignment horizontal="center"/>
    </xf>
    <xf numFmtId="10" fontId="29" fillId="0" borderId="6" xfId="38" applyNumberFormat="1" applyFont="1" applyFill="1" applyBorder="1" applyAlignment="1">
      <alignment horizontal="center"/>
    </xf>
    <xf numFmtId="0" fontId="29" fillId="0" borderId="11" xfId="38" applyFont="1" applyBorder="1" applyAlignment="1">
      <alignment horizontal="center" wrapText="1"/>
    </xf>
    <xf numFmtId="0" fontId="29" fillId="0" borderId="7" xfId="38" applyFont="1" applyBorder="1" applyAlignment="1">
      <alignment horizontal="center" wrapText="1"/>
    </xf>
    <xf numFmtId="0" fontId="9" fillId="0" borderId="0" xfId="0" applyNumberFormat="1" applyFont="1" applyAlignment="1">
      <alignment horizontal="left"/>
    </xf>
    <xf numFmtId="0" fontId="3" fillId="0" borderId="3" xfId="36" applyFont="1" applyFill="1" applyBorder="1" applyAlignment="1">
      <alignment horizontal="center" vertical="center" wrapText="1"/>
    </xf>
    <xf numFmtId="14" fontId="3" fillId="0" borderId="3" xfId="36" applyNumberFormat="1" applyFont="1" applyFill="1" applyBorder="1" applyAlignment="1" applyProtection="1">
      <alignment horizontal="center" vertical="center" wrapText="1"/>
    </xf>
    <xf numFmtId="14" fontId="3" fillId="10" borderId="3" xfId="36" applyNumberFormat="1" applyFont="1" applyFill="1" applyBorder="1" applyAlignment="1" applyProtection="1">
      <alignment horizontal="center" vertical="center" wrapText="1"/>
    </xf>
    <xf numFmtId="0" fontId="29" fillId="0" borderId="5" xfId="37" applyFont="1" applyBorder="1" applyAlignment="1">
      <alignment horizontal="center"/>
    </xf>
    <xf numFmtId="165" fontId="0" fillId="0" borderId="6" xfId="0" applyBorder="1" applyAlignment="1">
      <alignment horizontal="center"/>
    </xf>
    <xf numFmtId="165" fontId="4" fillId="0" borderId="5" xfId="0" applyFont="1" applyFill="1" applyBorder="1" applyAlignment="1">
      <alignment horizontal="center" vertical="center"/>
    </xf>
    <xf numFmtId="165" fontId="4" fillId="0" borderId="6" xfId="0" applyFont="1" applyFill="1" applyBorder="1" applyAlignment="1">
      <alignment horizontal="center" vertical="center"/>
    </xf>
    <xf numFmtId="165" fontId="4" fillId="0" borderId="2" xfId="0" applyFont="1" applyFill="1" applyBorder="1" applyAlignment="1">
      <alignment horizontal="center" vertical="center"/>
    </xf>
    <xf numFmtId="165" fontId="2" fillId="0" borderId="8" xfId="0" applyFont="1" applyFill="1" applyBorder="1" applyAlignment="1">
      <alignment horizontal="center" vertical="center"/>
    </xf>
    <xf numFmtId="165" fontId="2" fillId="0" borderId="12" xfId="0" applyFont="1" applyFill="1" applyBorder="1" applyAlignment="1">
      <alignment horizontal="center" vertical="center"/>
    </xf>
    <xf numFmtId="165" fontId="2" fillId="0" borderId="10" xfId="0" applyFont="1" applyFill="1" applyBorder="1" applyAlignment="1">
      <alignment horizontal="center" vertical="center"/>
    </xf>
    <xf numFmtId="165" fontId="2" fillId="0" borderId="13" xfId="0" applyFont="1" applyFill="1" applyBorder="1" applyAlignment="1">
      <alignment horizontal="center" vertical="center"/>
    </xf>
    <xf numFmtId="165" fontId="2" fillId="0" borderId="9" xfId="0" applyFont="1" applyFill="1" applyBorder="1" applyAlignment="1">
      <alignment horizontal="center" vertical="center"/>
    </xf>
    <xf numFmtId="165" fontId="2" fillId="0" borderId="4" xfId="0" applyFont="1" applyFill="1" applyBorder="1" applyAlignment="1">
      <alignment horizontal="center" vertical="center"/>
    </xf>
    <xf numFmtId="14" fontId="2" fillId="0" borderId="5" xfId="0" applyNumberFormat="1" applyFont="1" applyFill="1" applyBorder="1" applyAlignment="1">
      <alignment horizontal="center" vertical="center"/>
    </xf>
    <xf numFmtId="14" fontId="2" fillId="0" borderId="6" xfId="0" applyNumberFormat="1" applyFont="1" applyFill="1" applyBorder="1" applyAlignment="1">
      <alignment horizontal="center" vertical="center"/>
    </xf>
    <xf numFmtId="14" fontId="2" fillId="0" borderId="2" xfId="0" applyNumberFormat="1" applyFont="1" applyFill="1" applyBorder="1" applyAlignment="1">
      <alignment horizontal="center" vertical="center"/>
    </xf>
    <xf numFmtId="165" fontId="5" fillId="0" borderId="5" xfId="0" applyFont="1" applyFill="1" applyBorder="1" applyAlignment="1">
      <alignment horizontal="center" vertical="center" wrapText="1"/>
    </xf>
    <xf numFmtId="165" fontId="5" fillId="0" borderId="2" xfId="0" applyFont="1" applyFill="1" applyBorder="1" applyAlignment="1">
      <alignment horizontal="center" vertical="center" wrapText="1"/>
    </xf>
    <xf numFmtId="165" fontId="5" fillId="0" borderId="6" xfId="0" applyFont="1" applyFill="1" applyBorder="1" applyAlignment="1">
      <alignment horizontal="center" vertical="center" wrapText="1"/>
    </xf>
    <xf numFmtId="0" fontId="29" fillId="0" borderId="6" xfId="37" applyFont="1" applyBorder="1" applyAlignment="1">
      <alignment horizontal="center"/>
    </xf>
    <xf numFmtId="165" fontId="25" fillId="0" borderId="0" xfId="1" applyNumberFormat="1" applyFont="1" applyBorder="1" applyAlignment="1">
      <alignment horizontal="left" vertical="center" wrapText="1"/>
    </xf>
    <xf numFmtId="165" fontId="12" fillId="0" borderId="0" xfId="1" applyNumberFormat="1" applyFont="1" applyFill="1" applyBorder="1" applyAlignment="1">
      <alignment horizontal="left" vertical="center" wrapText="1"/>
    </xf>
    <xf numFmtId="165" fontId="5" fillId="0" borderId="42" xfId="0" applyFont="1" applyBorder="1" applyAlignment="1">
      <alignment horizontal="left" vertical="top" wrapText="1"/>
    </xf>
    <xf numFmtId="165" fontId="5" fillId="0" borderId="3" xfId="0" applyFont="1" applyBorder="1" applyAlignment="1">
      <alignment horizontal="left" vertical="top" wrapText="1"/>
    </xf>
    <xf numFmtId="165" fontId="2" fillId="0" borderId="0" xfId="1" applyNumberFormat="1" applyFont="1" applyBorder="1" applyAlignment="1">
      <alignment horizontal="left" vertical="center" wrapText="1"/>
    </xf>
    <xf numFmtId="165" fontId="17" fillId="0" borderId="43" xfId="1" applyNumberFormat="1" applyFont="1" applyBorder="1" applyAlignment="1">
      <alignment horizontal="center" vertical="center"/>
    </xf>
    <xf numFmtId="165" fontId="17" fillId="0" borderId="44" xfId="1" applyNumberFormat="1" applyFont="1" applyBorder="1" applyAlignment="1">
      <alignment horizontal="center" vertical="center"/>
    </xf>
    <xf numFmtId="165" fontId="17" fillId="0" borderId="45" xfId="1" applyNumberFormat="1" applyFont="1" applyBorder="1" applyAlignment="1">
      <alignment horizontal="center" vertical="center"/>
    </xf>
    <xf numFmtId="0" fontId="9" fillId="0" borderId="11" xfId="36" applyFont="1" applyFill="1" applyBorder="1" applyAlignment="1">
      <alignment horizontal="center" vertical="center" wrapText="1"/>
    </xf>
    <xf numFmtId="14" fontId="60" fillId="10" borderId="3" xfId="36" applyNumberFormat="1" applyFont="1" applyFill="1" applyBorder="1" applyAlignment="1">
      <alignment horizontal="center" vertical="center"/>
    </xf>
    <xf numFmtId="0" fontId="9" fillId="0" borderId="8" xfId="36" applyFont="1" applyFill="1" applyBorder="1" applyAlignment="1">
      <alignment horizontal="center" vertical="center" wrapText="1"/>
    </xf>
    <xf numFmtId="165" fontId="0" fillId="0" borderId="46" xfId="0" applyBorder="1"/>
    <xf numFmtId="165" fontId="0" fillId="0" borderId="12" xfId="0" applyBorder="1"/>
    <xf numFmtId="14" fontId="60" fillId="10" borderId="5" xfId="36" applyNumberFormat="1" applyFont="1" applyFill="1" applyBorder="1" applyAlignment="1">
      <alignment horizontal="center" vertical="center"/>
    </xf>
    <xf numFmtId="165" fontId="0" fillId="0" borderId="2" xfId="0" applyBorder="1"/>
    <xf numFmtId="165" fontId="0" fillId="0" borderId="6" xfId="0" applyBorder="1"/>
    <xf numFmtId="0" fontId="9" fillId="0" borderId="12" xfId="36" applyFont="1" applyFill="1" applyBorder="1" applyAlignment="1">
      <alignment horizontal="center" vertical="center" wrapText="1"/>
    </xf>
    <xf numFmtId="0" fontId="9" fillId="0" borderId="10" xfId="36" applyFont="1" applyFill="1" applyBorder="1" applyAlignment="1">
      <alignment horizontal="center" vertical="center" wrapText="1"/>
    </xf>
    <xf numFmtId="0" fontId="9" fillId="0" borderId="13" xfId="36" applyFont="1" applyFill="1" applyBorder="1" applyAlignment="1">
      <alignment horizontal="center" vertical="center" wrapText="1"/>
    </xf>
    <xf numFmtId="0" fontId="9" fillId="0" borderId="5" xfId="36" applyFont="1" applyFill="1" applyBorder="1" applyAlignment="1">
      <alignment horizontal="center"/>
    </xf>
    <xf numFmtId="0" fontId="9" fillId="0" borderId="2" xfId="36" applyFont="1" applyFill="1" applyBorder="1" applyAlignment="1">
      <alignment horizontal="center"/>
    </xf>
    <xf numFmtId="0" fontId="9" fillId="0" borderId="6" xfId="36" applyFont="1" applyFill="1" applyBorder="1" applyAlignment="1">
      <alignment horizontal="center"/>
    </xf>
    <xf numFmtId="0" fontId="9" fillId="0" borderId="8" xfId="36" applyFont="1" applyFill="1" applyBorder="1" applyAlignment="1">
      <alignment horizontal="center" vertical="center"/>
    </xf>
    <xf numFmtId="0" fontId="9" fillId="0" borderId="12" xfId="36" applyFont="1" applyFill="1" applyBorder="1" applyAlignment="1">
      <alignment horizontal="center" vertical="center"/>
    </xf>
    <xf numFmtId="0" fontId="9" fillId="0" borderId="10" xfId="36" applyFont="1" applyFill="1" applyBorder="1" applyAlignment="1">
      <alignment horizontal="center" vertical="center"/>
    </xf>
    <xf numFmtId="0" fontId="9" fillId="0" borderId="13" xfId="36" applyFont="1" applyFill="1" applyBorder="1" applyAlignment="1">
      <alignment horizontal="center" vertical="center"/>
    </xf>
  </cellXfs>
  <cellStyles count="53">
    <cellStyle name="A3 297 x 420 mm" xfId="1"/>
    <cellStyle name="args.style" xfId="2"/>
    <cellStyle name="Calc Currency (0)" xfId="3"/>
    <cellStyle name="Comma [0]_!!!GO" xfId="4"/>
    <cellStyle name="Comma_!!!GO" xfId="5"/>
    <cellStyle name="Comma0 - Modelo1" xfId="6"/>
    <cellStyle name="Comma0 - Style1" xfId="7"/>
    <cellStyle name="Comma0 - Style2" xfId="8"/>
    <cellStyle name="Comma1 - Modelo2" xfId="9"/>
    <cellStyle name="Comma1 - Style1" xfId="10"/>
    <cellStyle name="Comma1 - Style2" xfId="11"/>
    <cellStyle name="Copied" xfId="12"/>
    <cellStyle name="COST1" xfId="13"/>
    <cellStyle name="Currency [0]_!!!GO" xfId="14"/>
    <cellStyle name="Currency_!!!GO" xfId="15"/>
    <cellStyle name="Entered" xfId="16"/>
    <cellStyle name="Euro" xfId="17"/>
    <cellStyle name="Grey" xfId="18"/>
    <cellStyle name="Header1" xfId="19"/>
    <cellStyle name="Header2" xfId="20"/>
    <cellStyle name="Hipervínculo" xfId="21" builtinId="8"/>
    <cellStyle name="Hipervínculo_IndicadoresPliegosTarifarios" xfId="22"/>
    <cellStyle name="Input [yellow]" xfId="23"/>
    <cellStyle name="Input Cells" xfId="24"/>
    <cellStyle name="Linked Cells" xfId="25"/>
    <cellStyle name="Milliers [0]_!!!GO" xfId="26"/>
    <cellStyle name="Milliers_!!!GO" xfId="27"/>
    <cellStyle name="Monétaire [0]_!!!GO" xfId="28"/>
    <cellStyle name="Monétaire_!!!GO" xfId="29"/>
    <cellStyle name="no dec" xfId="30"/>
    <cellStyle name="Normal" xfId="0" builtinId="0"/>
    <cellStyle name="Normal - Style1" xfId="31"/>
    <cellStyle name="Normal 2" xfId="32"/>
    <cellStyle name="Normal 4" xfId="52"/>
    <cellStyle name="Normal_AJ082007-01-Eval" xfId="33"/>
    <cellStyle name="Normal_CalculoTasaArancelaria28012009" xfId="34"/>
    <cellStyle name="Normal_Indicadores20090604__" xfId="35"/>
    <cellStyle name="Normal_IndicadoresPliegosTarifarios" xfId="36"/>
    <cellStyle name="Normal_Libro2" xfId="37"/>
    <cellStyle name="Normal_Libro6" xfId="38"/>
    <cellStyle name="Normal_METALS (2)" xfId="39"/>
    <cellStyle name="Normal_TransSecun" xfId="40"/>
    <cellStyle name="Œ…‹æØ‚è [0.00]_!!!GO" xfId="41"/>
    <cellStyle name="Œ…‹æØ‚è_!!!GO" xfId="42"/>
    <cellStyle name="per.style" xfId="43"/>
    <cellStyle name="Percent [2]" xfId="44"/>
    <cellStyle name="Porcentaje" xfId="45" builtinId="5"/>
    <cellStyle name="pricing" xfId="46"/>
    <cellStyle name="PSChar" xfId="47"/>
    <cellStyle name="RevList" xfId="48"/>
    <cellStyle name="RM" xfId="49"/>
    <cellStyle name="Subtotal" xfId="50"/>
    <cellStyle name="一般_Cargos Prepago_04102006(1)" xfId="51"/>
  </cellStyles>
  <dxfs count="28">
    <dxf>
      <font>
        <color rgb="FF9C0006"/>
      </font>
      <fill>
        <patternFill>
          <bgColor rgb="FFFFC7CE"/>
        </patternFill>
      </fill>
    </dxf>
    <dxf>
      <font>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
      <font>
        <color auto="1"/>
      </font>
      <fill>
        <patternFill>
          <bgColor theme="5" tint="0.59996337778862885"/>
        </patternFill>
      </fill>
    </dxf>
    <dxf>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 Id="rId4"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3.png"/></Relationships>
</file>

<file path=xl/drawings/_rels/drawing4.xml.rels><?xml version="1.0" encoding="UTF-8" standalone="yes"?>
<Relationships xmlns="http://schemas.openxmlformats.org/package/2006/relationships"><Relationship Id="rId3" Type="http://schemas.openxmlformats.org/officeDocument/2006/relationships/image" Target="../media/image17.jpeg"/><Relationship Id="rId7" Type="http://schemas.openxmlformats.org/officeDocument/2006/relationships/image" Target="../media/image21.jpeg"/><Relationship Id="rId2" Type="http://schemas.openxmlformats.org/officeDocument/2006/relationships/image" Target="../media/image16.png"/><Relationship Id="rId1" Type="http://schemas.openxmlformats.org/officeDocument/2006/relationships/image" Target="../media/image15.png"/><Relationship Id="rId6" Type="http://schemas.openxmlformats.org/officeDocument/2006/relationships/image" Target="../media/image20.jpeg"/><Relationship Id="rId5" Type="http://schemas.openxmlformats.org/officeDocument/2006/relationships/image" Target="../media/image19.jpeg"/><Relationship Id="rId4" Type="http://schemas.openxmlformats.org/officeDocument/2006/relationships/image" Target="../media/image18.jpeg"/></Relationships>
</file>

<file path=xl/drawings/_rels/drawing5.xml.rels><?xml version="1.0" encoding="UTF-8" standalone="yes"?>
<Relationships xmlns="http://schemas.openxmlformats.org/package/2006/relationships"><Relationship Id="rId3" Type="http://schemas.openxmlformats.org/officeDocument/2006/relationships/image" Target="../media/image24.jpeg"/><Relationship Id="rId2" Type="http://schemas.openxmlformats.org/officeDocument/2006/relationships/image" Target="../media/image23.jpeg"/><Relationship Id="rId1" Type="http://schemas.openxmlformats.org/officeDocument/2006/relationships/image" Target="../media/image22.jpeg"/><Relationship Id="rId6" Type="http://schemas.openxmlformats.org/officeDocument/2006/relationships/image" Target="../media/image27.jpeg"/><Relationship Id="rId5" Type="http://schemas.openxmlformats.org/officeDocument/2006/relationships/image" Target="../media/image26.jpeg"/><Relationship Id="rId4" Type="http://schemas.openxmlformats.org/officeDocument/2006/relationships/image" Target="../media/image25.jpeg"/></Relationships>
</file>

<file path=xl/drawings/_rels/drawing6.xml.rels><?xml version="1.0" encoding="UTF-8" standalone="yes"?>
<Relationships xmlns="http://schemas.openxmlformats.org/package/2006/relationships"><Relationship Id="rId8" Type="http://schemas.openxmlformats.org/officeDocument/2006/relationships/image" Target="../media/image35.png"/><Relationship Id="rId3" Type="http://schemas.openxmlformats.org/officeDocument/2006/relationships/image" Target="../media/image30.png"/><Relationship Id="rId7" Type="http://schemas.openxmlformats.org/officeDocument/2006/relationships/image" Target="../media/image34.png"/><Relationship Id="rId2" Type="http://schemas.openxmlformats.org/officeDocument/2006/relationships/image" Target="../media/image29.png"/><Relationship Id="rId1" Type="http://schemas.openxmlformats.org/officeDocument/2006/relationships/image" Target="../media/image28.png"/><Relationship Id="rId6" Type="http://schemas.openxmlformats.org/officeDocument/2006/relationships/image" Target="../media/image33.png"/><Relationship Id="rId5" Type="http://schemas.openxmlformats.org/officeDocument/2006/relationships/image" Target="../media/image32.png"/><Relationship Id="rId10" Type="http://schemas.openxmlformats.org/officeDocument/2006/relationships/image" Target="../media/image37.png"/><Relationship Id="rId4" Type="http://schemas.openxmlformats.org/officeDocument/2006/relationships/image" Target="../media/image31.png"/><Relationship Id="rId9" Type="http://schemas.openxmlformats.org/officeDocument/2006/relationships/image" Target="../media/image36.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7.wmf"/><Relationship Id="rId2" Type="http://schemas.openxmlformats.org/officeDocument/2006/relationships/image" Target="../media/image6.wmf"/><Relationship Id="rId1" Type="http://schemas.openxmlformats.org/officeDocument/2006/relationships/image" Target="../media/image5.wmf"/><Relationship Id="rId4" Type="http://schemas.openxmlformats.org/officeDocument/2006/relationships/image" Target="../media/image8.wmf"/></Relationships>
</file>

<file path=xl/drawings/drawing1.xml><?xml version="1.0" encoding="utf-8"?>
<xdr:wsDr xmlns:xdr="http://schemas.openxmlformats.org/drawingml/2006/spreadsheetDrawing" xmlns:a="http://schemas.openxmlformats.org/drawingml/2006/main">
  <xdr:twoCellAnchor editAs="oneCell">
    <xdr:from>
      <xdr:col>6</xdr:col>
      <xdr:colOff>161925</xdr:colOff>
      <xdr:row>5</xdr:row>
      <xdr:rowOff>47625</xdr:rowOff>
    </xdr:from>
    <xdr:to>
      <xdr:col>9</xdr:col>
      <xdr:colOff>864870</xdr:colOff>
      <xdr:row>16</xdr:row>
      <xdr:rowOff>87630</xdr:rowOff>
    </xdr:to>
    <xdr:pic>
      <xdr:nvPicPr>
        <xdr:cNvPr id="2" name="1 Imagen"/>
        <xdr:cNvPicPr>
          <a:picLocks noChangeAspect="1"/>
        </xdr:cNvPicPr>
      </xdr:nvPicPr>
      <xdr:blipFill>
        <a:blip xmlns:r="http://schemas.openxmlformats.org/officeDocument/2006/relationships" r:embed="rId1"/>
        <a:stretch>
          <a:fillRect/>
        </a:stretch>
      </xdr:blipFill>
      <xdr:spPr>
        <a:xfrm>
          <a:off x="5791200" y="1028700"/>
          <a:ext cx="3627120" cy="1821180"/>
        </a:xfrm>
        <a:prstGeom prst="rect">
          <a:avLst/>
        </a:prstGeom>
      </xdr:spPr>
    </xdr:pic>
    <xdr:clientData/>
  </xdr:twoCellAnchor>
  <xdr:twoCellAnchor editAs="oneCell">
    <xdr:from>
      <xdr:col>6</xdr:col>
      <xdr:colOff>123825</xdr:colOff>
      <xdr:row>18</xdr:row>
      <xdr:rowOff>85725</xdr:rowOff>
    </xdr:from>
    <xdr:to>
      <xdr:col>9</xdr:col>
      <xdr:colOff>834390</xdr:colOff>
      <xdr:row>32</xdr:row>
      <xdr:rowOff>89535</xdr:rowOff>
    </xdr:to>
    <xdr:pic>
      <xdr:nvPicPr>
        <xdr:cNvPr id="3" name="2 Imagen"/>
        <xdr:cNvPicPr>
          <a:picLocks noChangeAspect="1"/>
        </xdr:cNvPicPr>
      </xdr:nvPicPr>
      <xdr:blipFill>
        <a:blip xmlns:r="http://schemas.openxmlformats.org/officeDocument/2006/relationships" r:embed="rId2"/>
        <a:stretch>
          <a:fillRect/>
        </a:stretch>
      </xdr:blipFill>
      <xdr:spPr>
        <a:xfrm>
          <a:off x="5753100" y="3171825"/>
          <a:ext cx="3634740" cy="2270760"/>
        </a:xfrm>
        <a:prstGeom prst="rect">
          <a:avLst/>
        </a:prstGeom>
      </xdr:spPr>
    </xdr:pic>
    <xdr:clientData/>
  </xdr:twoCellAnchor>
  <xdr:twoCellAnchor editAs="oneCell">
    <xdr:from>
      <xdr:col>11</xdr:col>
      <xdr:colOff>0</xdr:colOff>
      <xdr:row>17</xdr:row>
      <xdr:rowOff>0</xdr:rowOff>
    </xdr:from>
    <xdr:to>
      <xdr:col>15</xdr:col>
      <xdr:colOff>81915</xdr:colOff>
      <xdr:row>31</xdr:row>
      <xdr:rowOff>95250</xdr:rowOff>
    </xdr:to>
    <xdr:pic>
      <xdr:nvPicPr>
        <xdr:cNvPr id="4" name="3 Imagen"/>
        <xdr:cNvPicPr>
          <a:picLocks noChangeAspect="1"/>
        </xdr:cNvPicPr>
      </xdr:nvPicPr>
      <xdr:blipFill>
        <a:blip xmlns:r="http://schemas.openxmlformats.org/officeDocument/2006/relationships" r:embed="rId3"/>
        <a:stretch>
          <a:fillRect/>
        </a:stretch>
      </xdr:blipFill>
      <xdr:spPr>
        <a:xfrm>
          <a:off x="10582275" y="2924175"/>
          <a:ext cx="4053840" cy="2362200"/>
        </a:xfrm>
        <a:prstGeom prst="rect">
          <a:avLst/>
        </a:prstGeom>
      </xdr:spPr>
    </xdr:pic>
    <xdr:clientData/>
  </xdr:twoCellAnchor>
  <xdr:twoCellAnchor editAs="oneCell">
    <xdr:from>
      <xdr:col>1</xdr:col>
      <xdr:colOff>0</xdr:colOff>
      <xdr:row>76</xdr:row>
      <xdr:rowOff>149701</xdr:rowOff>
    </xdr:from>
    <xdr:to>
      <xdr:col>4</xdr:col>
      <xdr:colOff>723900</xdr:colOff>
      <xdr:row>90</xdr:row>
      <xdr:rowOff>81915</xdr:rowOff>
    </xdr:to>
    <xdr:pic>
      <xdr:nvPicPr>
        <xdr:cNvPr id="5" name="4 Imagen"/>
        <xdr:cNvPicPr>
          <a:picLocks noChangeAspect="1"/>
        </xdr:cNvPicPr>
      </xdr:nvPicPr>
      <xdr:blipFill>
        <a:blip xmlns:r="http://schemas.openxmlformats.org/officeDocument/2006/relationships" r:embed="rId4"/>
        <a:stretch>
          <a:fillRect/>
        </a:stretch>
      </xdr:blipFill>
      <xdr:spPr>
        <a:xfrm>
          <a:off x="333375" y="12694126"/>
          <a:ext cx="4324350" cy="21991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29</xdr:col>
      <xdr:colOff>1929495</xdr:colOff>
      <xdr:row>88</xdr:row>
      <xdr:rowOff>1</xdr:rowOff>
    </xdr:from>
    <xdr:to>
      <xdr:col>34</xdr:col>
      <xdr:colOff>1063984</xdr:colOff>
      <xdr:row>91</xdr:row>
      <xdr:rowOff>48923</xdr:rowOff>
    </xdr:to>
    <xdr:pic>
      <xdr:nvPicPr>
        <xdr:cNvPr id="3286" name="2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15888" y="23553965"/>
          <a:ext cx="6536774" cy="742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2050596</xdr:colOff>
      <xdr:row>101</xdr:row>
      <xdr:rowOff>54428</xdr:rowOff>
    </xdr:from>
    <xdr:to>
      <xdr:col>35</xdr:col>
      <xdr:colOff>576179</xdr:colOff>
      <xdr:row>104</xdr:row>
      <xdr:rowOff>43541</xdr:rowOff>
    </xdr:to>
    <xdr:pic>
      <xdr:nvPicPr>
        <xdr:cNvPr id="3287" name="3 Imagen"/>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136989" y="26411464"/>
          <a:ext cx="7356618" cy="6830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36</xdr:col>
      <xdr:colOff>43425</xdr:colOff>
      <xdr:row>14</xdr:row>
      <xdr:rowOff>44823</xdr:rowOff>
    </xdr:from>
    <xdr:to>
      <xdr:col>40</xdr:col>
      <xdr:colOff>180975</xdr:colOff>
      <xdr:row>25</xdr:row>
      <xdr:rowOff>21851</xdr:rowOff>
    </xdr:to>
    <xdr:pic>
      <xdr:nvPicPr>
        <xdr:cNvPr id="3218" name="Picture 146"/>
        <xdr:cNvPicPr>
          <a:picLocks noChangeAspect="1" noChangeArrowheads="1"/>
        </xdr:cNvPicPr>
      </xdr:nvPicPr>
      <xdr:blipFill>
        <a:blip xmlns:r="http://schemas.openxmlformats.org/officeDocument/2006/relationships" r:embed="rId3" cstate="print"/>
        <a:srcRect/>
        <a:stretch>
          <a:fillRect/>
        </a:stretch>
      </xdr:blipFill>
      <xdr:spPr bwMode="auto">
        <a:xfrm>
          <a:off x="43130043" y="3630705"/>
          <a:ext cx="5830138" cy="2565587"/>
        </a:xfrm>
        <a:prstGeom prst="rect">
          <a:avLst/>
        </a:prstGeom>
        <a:noFill/>
        <a:ln w="1">
          <a:noFill/>
          <a:miter lim="800000"/>
          <a:headEnd/>
          <a:tailEnd type="none" w="med" len="med"/>
        </a:ln>
        <a:effectLst/>
      </xdr:spPr>
    </xdr:pic>
    <xdr:clientData/>
  </xdr:twoCellAnchor>
  <xdr:twoCellAnchor editAs="oneCell">
    <xdr:from>
      <xdr:col>38</xdr:col>
      <xdr:colOff>280148</xdr:colOff>
      <xdr:row>63</xdr:row>
      <xdr:rowOff>22411</xdr:rowOff>
    </xdr:from>
    <xdr:to>
      <xdr:col>42</xdr:col>
      <xdr:colOff>22020</xdr:colOff>
      <xdr:row>67</xdr:row>
      <xdr:rowOff>190501</xdr:rowOff>
    </xdr:to>
    <xdr:pic>
      <xdr:nvPicPr>
        <xdr:cNvPr id="3220" name="Picture 148"/>
        <xdr:cNvPicPr>
          <a:picLocks noChangeAspect="1" noChangeArrowheads="1"/>
        </xdr:cNvPicPr>
      </xdr:nvPicPr>
      <xdr:blipFill>
        <a:blip xmlns:r="http://schemas.openxmlformats.org/officeDocument/2006/relationships" r:embed="rId4" cstate="print"/>
        <a:srcRect l="23763" t="56321" r="23713" b="24401"/>
        <a:stretch>
          <a:fillRect/>
        </a:stretch>
      </xdr:blipFill>
      <xdr:spPr bwMode="auto">
        <a:xfrm>
          <a:off x="46224266" y="16932087"/>
          <a:ext cx="4874166" cy="1064561"/>
        </a:xfrm>
        <a:prstGeom prst="rect">
          <a:avLst/>
        </a:prstGeom>
        <a:noFill/>
        <a:ln w="1">
          <a:noFill/>
          <a:miter lim="800000"/>
          <a:headEnd/>
          <a:tailEnd type="none" w="med" len="med"/>
        </a:ln>
        <a:effectLst/>
      </xdr:spPr>
    </xdr:pic>
    <xdr:clientData/>
  </xdr:twoCellAnchor>
  <xdr:twoCellAnchor>
    <xdr:from>
      <xdr:col>37</xdr:col>
      <xdr:colOff>773206</xdr:colOff>
      <xdr:row>60</xdr:row>
      <xdr:rowOff>67235</xdr:rowOff>
    </xdr:from>
    <xdr:to>
      <xdr:col>39</xdr:col>
      <xdr:colOff>1098176</xdr:colOff>
      <xdr:row>60</xdr:row>
      <xdr:rowOff>67235</xdr:rowOff>
    </xdr:to>
    <xdr:cxnSp macro="">
      <xdr:nvCxnSpPr>
        <xdr:cNvPr id="7" name="6 Conector recto de flecha"/>
        <xdr:cNvCxnSpPr/>
      </xdr:nvCxnSpPr>
      <xdr:spPr bwMode="auto">
        <a:xfrm>
          <a:off x="45473471" y="16304559"/>
          <a:ext cx="3574676" cy="0"/>
        </a:xfrm>
        <a:prstGeom prst="straightConnector1">
          <a:avLst/>
        </a:prstGeom>
        <a:solidFill>
          <a:srgbClr val="FFFFFF"/>
        </a:solidFill>
        <a:ln w="28575" cap="flat" cmpd="sng" algn="ctr">
          <a:solidFill>
            <a:srgbClr val="000000"/>
          </a:solidFill>
          <a:prstDash val="solid"/>
          <a:round/>
          <a:headEnd type="none" w="med" len="med"/>
          <a:tailEnd type="none"/>
        </a:ln>
        <a:effectLst/>
      </xdr:spPr>
    </xdr:cxnSp>
    <xdr:clientData/>
  </xdr:twoCellAnchor>
  <xdr:twoCellAnchor>
    <xdr:from>
      <xdr:col>39</xdr:col>
      <xdr:colOff>1086970</xdr:colOff>
      <xdr:row>60</xdr:row>
      <xdr:rowOff>78441</xdr:rowOff>
    </xdr:from>
    <xdr:to>
      <xdr:col>39</xdr:col>
      <xdr:colOff>1086970</xdr:colOff>
      <xdr:row>62</xdr:row>
      <xdr:rowOff>190500</xdr:rowOff>
    </xdr:to>
    <xdr:cxnSp macro="">
      <xdr:nvCxnSpPr>
        <xdr:cNvPr id="9" name="8 Conector recto de flecha"/>
        <xdr:cNvCxnSpPr/>
      </xdr:nvCxnSpPr>
      <xdr:spPr bwMode="auto">
        <a:xfrm>
          <a:off x="49036941" y="16315765"/>
          <a:ext cx="0" cy="560294"/>
        </a:xfrm>
        <a:prstGeom prst="straightConnector1">
          <a:avLst/>
        </a:prstGeom>
        <a:solidFill>
          <a:srgbClr val="FFFFFF"/>
        </a:solidFill>
        <a:ln w="28575" cap="flat" cmpd="sng" algn="ctr">
          <a:solidFill>
            <a:srgbClr val="000000"/>
          </a:solidFill>
          <a:prstDash val="solid"/>
          <a:round/>
          <a:headEnd type="none" w="med" len="med"/>
          <a:tailEnd type="arrow"/>
        </a:ln>
        <a:effectLst/>
      </xdr:spPr>
    </xdr:cxnSp>
    <xdr:clientData/>
  </xdr:twoCellAnchor>
  <mc:AlternateContent xmlns:mc="http://schemas.openxmlformats.org/markup-compatibility/2006">
    <mc:Choice xmlns:a14="http://schemas.microsoft.com/office/drawing/2010/main" Requires="a14">
      <xdr:twoCellAnchor>
        <xdr:from>
          <xdr:col>29</xdr:col>
          <xdr:colOff>104775</xdr:colOff>
          <xdr:row>41</xdr:row>
          <xdr:rowOff>180975</xdr:rowOff>
        </xdr:from>
        <xdr:to>
          <xdr:col>30</xdr:col>
          <xdr:colOff>838200</xdr:colOff>
          <xdr:row>44</xdr:row>
          <xdr:rowOff>171450</xdr:rowOff>
        </xdr:to>
        <xdr:sp macro="" textlink="">
          <xdr:nvSpPr>
            <xdr:cNvPr id="3092" name="Object 20" hidden="1">
              <a:extLst>
                <a:ext uri="{63B3BB69-23CF-44E3-9099-C40C66FF867C}">
                  <a14:compatExt spid="_x0000_s30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95250</xdr:colOff>
          <xdr:row>56</xdr:row>
          <xdr:rowOff>142875</xdr:rowOff>
        </xdr:from>
        <xdr:to>
          <xdr:col>33</xdr:col>
          <xdr:colOff>857250</xdr:colOff>
          <xdr:row>59</xdr:row>
          <xdr:rowOff>104775</xdr:rowOff>
        </xdr:to>
        <xdr:sp macro="" textlink="">
          <xdr:nvSpPr>
            <xdr:cNvPr id="3215" name="Object 143" hidden="1">
              <a:extLst>
                <a:ext uri="{63B3BB69-23CF-44E3-9099-C40C66FF867C}">
                  <a14:compatExt spid="_x0000_s32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9525</xdr:colOff>
          <xdr:row>67</xdr:row>
          <xdr:rowOff>219075</xdr:rowOff>
        </xdr:from>
        <xdr:to>
          <xdr:col>33</xdr:col>
          <xdr:colOff>742950</xdr:colOff>
          <xdr:row>70</xdr:row>
          <xdr:rowOff>142875</xdr:rowOff>
        </xdr:to>
        <xdr:sp macro="" textlink="">
          <xdr:nvSpPr>
            <xdr:cNvPr id="3216" name="Object 144" hidden="1">
              <a:extLst>
                <a:ext uri="{63B3BB69-23CF-44E3-9099-C40C66FF867C}">
                  <a14:compatExt spid="_x0000_s32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0</xdr:colOff>
          <xdr:row>76</xdr:row>
          <xdr:rowOff>200025</xdr:rowOff>
        </xdr:from>
        <xdr:to>
          <xdr:col>33</xdr:col>
          <xdr:colOff>733425</xdr:colOff>
          <xdr:row>79</xdr:row>
          <xdr:rowOff>114300</xdr:rowOff>
        </xdr:to>
        <xdr:sp macro="" textlink="">
          <xdr:nvSpPr>
            <xdr:cNvPr id="3217" name="Object 145" hidden="1">
              <a:extLst>
                <a:ext uri="{63B3BB69-23CF-44E3-9099-C40C66FF867C}">
                  <a14:compatExt spid="_x0000_s3217"/>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10</xdr:col>
      <xdr:colOff>495300</xdr:colOff>
      <xdr:row>3</xdr:row>
      <xdr:rowOff>38100</xdr:rowOff>
    </xdr:from>
    <xdr:to>
      <xdr:col>14</xdr:col>
      <xdr:colOff>457200</xdr:colOff>
      <xdr:row>32</xdr:row>
      <xdr:rowOff>114300</xdr:rowOff>
    </xdr:to>
    <xdr:pic>
      <xdr:nvPicPr>
        <xdr:cNvPr id="15418" name="Picture 15"/>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782925" y="428625"/>
          <a:ext cx="4772025" cy="563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5</xdr:col>
      <xdr:colOff>9525</xdr:colOff>
      <xdr:row>14</xdr:row>
      <xdr:rowOff>85725</xdr:rowOff>
    </xdr:from>
    <xdr:to>
      <xdr:col>10</xdr:col>
      <xdr:colOff>200025</xdr:colOff>
      <xdr:row>35</xdr:row>
      <xdr:rowOff>0</xdr:rowOff>
    </xdr:to>
    <xdr:cxnSp macro="">
      <xdr:nvCxnSpPr>
        <xdr:cNvPr id="15419" name="3 Conector recto de flecha"/>
        <xdr:cNvCxnSpPr>
          <a:cxnSpLocks noChangeShapeType="1"/>
        </xdr:cNvCxnSpPr>
      </xdr:nvCxnSpPr>
      <xdr:spPr bwMode="auto">
        <a:xfrm>
          <a:off x="8134350" y="2981325"/>
          <a:ext cx="7353300" cy="422910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fPrintsWithSheet="0"/>
  </xdr:twoCellAnchor>
  <xdr:twoCellAnchor editAs="oneCell">
    <xdr:from>
      <xdr:col>11</xdr:col>
      <xdr:colOff>85725</xdr:colOff>
      <xdr:row>33</xdr:row>
      <xdr:rowOff>676275</xdr:rowOff>
    </xdr:from>
    <xdr:to>
      <xdr:col>15</xdr:col>
      <xdr:colOff>1504950</xdr:colOff>
      <xdr:row>63</xdr:row>
      <xdr:rowOff>114300</xdr:rowOff>
    </xdr:to>
    <xdr:pic>
      <xdr:nvPicPr>
        <xdr:cNvPr id="2" name="Picture 22"/>
        <xdr:cNvPicPr>
          <a:picLocks noChangeAspect="1" noChangeArrowheads="1"/>
        </xdr:cNvPicPr>
      </xdr:nvPicPr>
      <xdr:blipFill>
        <a:blip xmlns:r="http://schemas.openxmlformats.org/officeDocument/2006/relationships" r:embed="rId2" cstate="print"/>
        <a:srcRect l="23542" t="19310" r="25972" b="10000"/>
        <a:stretch>
          <a:fillRect/>
        </a:stretch>
      </xdr:blipFill>
      <xdr:spPr bwMode="auto">
        <a:xfrm>
          <a:off x="17164050" y="7391400"/>
          <a:ext cx="6924675" cy="5857875"/>
        </a:xfrm>
        <a:prstGeom prst="rect">
          <a:avLst/>
        </a:prstGeom>
        <a:noFill/>
        <a:ln w="1">
          <a:noFill/>
          <a:miter lim="800000"/>
          <a:headEnd/>
          <a:tailEnd type="none" w="med" len="med"/>
        </a:ln>
        <a:effec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32</xdr:col>
      <xdr:colOff>100853</xdr:colOff>
      <xdr:row>72</xdr:row>
      <xdr:rowOff>33618</xdr:rowOff>
    </xdr:from>
    <xdr:to>
      <xdr:col>38</xdr:col>
      <xdr:colOff>281828</xdr:colOff>
      <xdr:row>102</xdr:row>
      <xdr:rowOff>14568</xdr:rowOff>
    </xdr:to>
    <xdr:pic>
      <xdr:nvPicPr>
        <xdr:cNvPr id="24" name="Picture 31"/>
        <xdr:cNvPicPr>
          <a:picLocks noChangeAspect="1" noChangeArrowheads="1"/>
        </xdr:cNvPicPr>
      </xdr:nvPicPr>
      <xdr:blipFill>
        <a:blip xmlns:r="http://schemas.openxmlformats.org/officeDocument/2006/relationships" r:embed="rId1" cstate="print"/>
        <a:srcRect/>
        <a:stretch>
          <a:fillRect/>
        </a:stretch>
      </xdr:blipFill>
      <xdr:spPr bwMode="auto">
        <a:xfrm>
          <a:off x="33505588" y="593912"/>
          <a:ext cx="4752975" cy="4687421"/>
        </a:xfrm>
        <a:prstGeom prst="rect">
          <a:avLst/>
        </a:prstGeom>
        <a:noFill/>
        <a:ln w="1">
          <a:noFill/>
          <a:miter lim="800000"/>
          <a:headEnd/>
          <a:tailEnd type="none" w="med" len="med"/>
        </a:ln>
        <a:effectLst/>
      </xdr:spPr>
    </xdr:pic>
    <xdr:clientData/>
  </xdr:twoCellAnchor>
  <xdr:twoCellAnchor editAs="oneCell">
    <xdr:from>
      <xdr:col>39</xdr:col>
      <xdr:colOff>739589</xdr:colOff>
      <xdr:row>72</xdr:row>
      <xdr:rowOff>1</xdr:rowOff>
    </xdr:from>
    <xdr:to>
      <xdr:col>44</xdr:col>
      <xdr:colOff>302559</xdr:colOff>
      <xdr:row>102</xdr:row>
      <xdr:rowOff>59411</xdr:rowOff>
    </xdr:to>
    <xdr:pic>
      <xdr:nvPicPr>
        <xdr:cNvPr id="25" name="Picture 33"/>
        <xdr:cNvPicPr>
          <a:picLocks noChangeAspect="1" noChangeArrowheads="1"/>
        </xdr:cNvPicPr>
      </xdr:nvPicPr>
      <xdr:blipFill>
        <a:blip xmlns:r="http://schemas.openxmlformats.org/officeDocument/2006/relationships" r:embed="rId2" cstate="print"/>
        <a:srcRect/>
        <a:stretch>
          <a:fillRect/>
        </a:stretch>
      </xdr:blipFill>
      <xdr:spPr bwMode="auto">
        <a:xfrm>
          <a:off x="39478324" y="7855325"/>
          <a:ext cx="3372970" cy="4765881"/>
        </a:xfrm>
        <a:prstGeom prst="rect">
          <a:avLst/>
        </a:prstGeom>
        <a:noFill/>
        <a:ln w="1">
          <a:noFill/>
          <a:miter lim="800000"/>
          <a:headEnd/>
          <a:tailEnd type="none" w="med" len="med"/>
        </a:ln>
        <a:effectLst/>
      </xdr:spPr>
    </xdr:pic>
    <xdr:clientData/>
  </xdr:twoCellAnchor>
  <xdr:twoCellAnchor editAs="oneCell">
    <xdr:from>
      <xdr:col>14</xdr:col>
      <xdr:colOff>22412</xdr:colOff>
      <xdr:row>4</xdr:row>
      <xdr:rowOff>246529</xdr:rowOff>
    </xdr:from>
    <xdr:to>
      <xdr:col>29</xdr:col>
      <xdr:colOff>323178</xdr:colOff>
      <xdr:row>47</xdr:row>
      <xdr:rowOff>21963</xdr:rowOff>
    </xdr:to>
    <xdr:pic>
      <xdr:nvPicPr>
        <xdr:cNvPr id="2" name="1 Imagen"/>
        <xdr:cNvPicPr>
          <a:picLocks noChangeAspect="1"/>
        </xdr:cNvPicPr>
      </xdr:nvPicPr>
      <xdr:blipFill>
        <a:blip xmlns:r="http://schemas.openxmlformats.org/officeDocument/2006/relationships" r:embed="rId3"/>
        <a:stretch>
          <a:fillRect/>
        </a:stretch>
      </xdr:blipFill>
      <xdr:spPr>
        <a:xfrm>
          <a:off x="18769853" y="1299882"/>
          <a:ext cx="12672060" cy="8549640"/>
        </a:xfrm>
        <a:prstGeom prst="rect">
          <a:avLst/>
        </a:prstGeom>
      </xdr:spPr>
    </xdr:pic>
    <xdr:clientData/>
  </xdr:twoCellAnchor>
  <xdr:twoCellAnchor editAs="oneCell">
    <xdr:from>
      <xdr:col>7</xdr:col>
      <xdr:colOff>0</xdr:colOff>
      <xdr:row>28</xdr:row>
      <xdr:rowOff>0</xdr:rowOff>
    </xdr:from>
    <xdr:to>
      <xdr:col>11</xdr:col>
      <xdr:colOff>391757</xdr:colOff>
      <xdr:row>55</xdr:row>
      <xdr:rowOff>187362</xdr:rowOff>
    </xdr:to>
    <xdr:pic>
      <xdr:nvPicPr>
        <xdr:cNvPr id="4" name="3 Imagen"/>
        <xdr:cNvPicPr>
          <a:picLocks noChangeAspect="1"/>
        </xdr:cNvPicPr>
      </xdr:nvPicPr>
      <xdr:blipFill>
        <a:blip xmlns:r="http://schemas.openxmlformats.org/officeDocument/2006/relationships" r:embed="rId4"/>
        <a:stretch>
          <a:fillRect/>
        </a:stretch>
      </xdr:blipFill>
      <xdr:spPr>
        <a:xfrm>
          <a:off x="9020735" y="6107206"/>
          <a:ext cx="6073140" cy="5364480"/>
        </a:xfrm>
        <a:prstGeom prst="rect">
          <a:avLst/>
        </a:prstGeom>
      </xdr:spPr>
    </xdr:pic>
    <xdr:clientData/>
  </xdr:twoCellAnchor>
  <xdr:twoCellAnchor editAs="oneCell">
    <xdr:from>
      <xdr:col>32</xdr:col>
      <xdr:colOff>145677</xdr:colOff>
      <xdr:row>4</xdr:row>
      <xdr:rowOff>33618</xdr:rowOff>
    </xdr:from>
    <xdr:to>
      <xdr:col>38</xdr:col>
      <xdr:colOff>694766</xdr:colOff>
      <xdr:row>25</xdr:row>
      <xdr:rowOff>140445</xdr:rowOff>
    </xdr:to>
    <xdr:pic>
      <xdr:nvPicPr>
        <xdr:cNvPr id="8" name="7 Imagen"/>
        <xdr:cNvPicPr>
          <a:picLocks noChangeAspect="1"/>
        </xdr:cNvPicPr>
      </xdr:nvPicPr>
      <xdr:blipFill>
        <a:blip xmlns:r="http://schemas.openxmlformats.org/officeDocument/2006/relationships" r:embed="rId5"/>
        <a:stretch>
          <a:fillRect/>
        </a:stretch>
      </xdr:blipFill>
      <xdr:spPr>
        <a:xfrm>
          <a:off x="33550412" y="1086971"/>
          <a:ext cx="5121089" cy="4656415"/>
        </a:xfrm>
        <a:prstGeom prst="rect">
          <a:avLst/>
        </a:prstGeom>
      </xdr:spPr>
    </xdr:pic>
    <xdr:clientData/>
  </xdr:twoCellAnchor>
  <xdr:twoCellAnchor editAs="oneCell">
    <xdr:from>
      <xdr:col>40</xdr:col>
      <xdr:colOff>11206</xdr:colOff>
      <xdr:row>4</xdr:row>
      <xdr:rowOff>252746</xdr:rowOff>
    </xdr:from>
    <xdr:to>
      <xdr:col>46</xdr:col>
      <xdr:colOff>0</xdr:colOff>
      <xdr:row>20</xdr:row>
      <xdr:rowOff>78442</xdr:rowOff>
    </xdr:to>
    <xdr:pic>
      <xdr:nvPicPr>
        <xdr:cNvPr id="12" name="11 Imagen"/>
        <xdr:cNvPicPr>
          <a:picLocks noChangeAspect="1"/>
        </xdr:cNvPicPr>
      </xdr:nvPicPr>
      <xdr:blipFill>
        <a:blip xmlns:r="http://schemas.openxmlformats.org/officeDocument/2006/relationships" r:embed="rId6"/>
        <a:stretch>
          <a:fillRect/>
        </a:stretch>
      </xdr:blipFill>
      <xdr:spPr>
        <a:xfrm>
          <a:off x="39511941" y="1306099"/>
          <a:ext cx="4560794" cy="3422784"/>
        </a:xfrm>
        <a:prstGeom prst="rect">
          <a:avLst/>
        </a:prstGeom>
      </xdr:spPr>
    </xdr:pic>
    <xdr:clientData/>
  </xdr:twoCellAnchor>
  <xdr:twoCellAnchor editAs="oneCell">
    <xdr:from>
      <xdr:col>1</xdr:col>
      <xdr:colOff>0</xdr:colOff>
      <xdr:row>65</xdr:row>
      <xdr:rowOff>0</xdr:rowOff>
    </xdr:from>
    <xdr:to>
      <xdr:col>8</xdr:col>
      <xdr:colOff>379207</xdr:colOff>
      <xdr:row>139</xdr:row>
      <xdr:rowOff>43030</xdr:rowOff>
    </xdr:to>
    <xdr:pic>
      <xdr:nvPicPr>
        <xdr:cNvPr id="9" name="8 Imagen"/>
        <xdr:cNvPicPr>
          <a:picLocks noChangeAspect="1"/>
        </xdr:cNvPicPr>
      </xdr:nvPicPr>
      <xdr:blipFill>
        <a:blip xmlns:r="http://schemas.openxmlformats.org/officeDocument/2006/relationships" r:embed="rId7"/>
        <a:stretch>
          <a:fillRect/>
        </a:stretch>
      </xdr:blipFill>
      <xdr:spPr>
        <a:xfrm>
          <a:off x="762000" y="13133294"/>
          <a:ext cx="10195560" cy="1171956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28575</xdr:colOff>
      <xdr:row>66</xdr:row>
      <xdr:rowOff>96449</xdr:rowOff>
    </xdr:from>
    <xdr:to>
      <xdr:col>5</xdr:col>
      <xdr:colOff>561975</xdr:colOff>
      <xdr:row>101</xdr:row>
      <xdr:rowOff>38100</xdr:rowOff>
    </xdr:to>
    <xdr:pic>
      <xdr:nvPicPr>
        <xdr:cNvPr id="7" name="6 Imagen"/>
        <xdr:cNvPicPr>
          <a:picLocks noChangeAspect="1"/>
        </xdr:cNvPicPr>
      </xdr:nvPicPr>
      <xdr:blipFill>
        <a:blip xmlns:r="http://schemas.openxmlformats.org/officeDocument/2006/relationships" r:embed="rId1"/>
        <a:stretch>
          <a:fillRect/>
        </a:stretch>
      </xdr:blipFill>
      <xdr:spPr>
        <a:xfrm>
          <a:off x="28575" y="12440849"/>
          <a:ext cx="8915400" cy="5609026"/>
        </a:xfrm>
        <a:prstGeom prst="rect">
          <a:avLst/>
        </a:prstGeom>
      </xdr:spPr>
    </xdr:pic>
    <xdr:clientData/>
  </xdr:twoCellAnchor>
  <xdr:twoCellAnchor editAs="oneCell">
    <xdr:from>
      <xdr:col>5</xdr:col>
      <xdr:colOff>828674</xdr:colOff>
      <xdr:row>62</xdr:row>
      <xdr:rowOff>151608</xdr:rowOff>
    </xdr:from>
    <xdr:to>
      <xdr:col>13</xdr:col>
      <xdr:colOff>631324</xdr:colOff>
      <xdr:row>101</xdr:row>
      <xdr:rowOff>57149</xdr:rowOff>
    </xdr:to>
    <xdr:pic>
      <xdr:nvPicPr>
        <xdr:cNvPr id="14" name="13 Imagen"/>
        <xdr:cNvPicPr>
          <a:picLocks noChangeAspect="1"/>
        </xdr:cNvPicPr>
      </xdr:nvPicPr>
      <xdr:blipFill>
        <a:blip xmlns:r="http://schemas.openxmlformats.org/officeDocument/2006/relationships" r:embed="rId2"/>
        <a:stretch>
          <a:fillRect/>
        </a:stretch>
      </xdr:blipFill>
      <xdr:spPr>
        <a:xfrm>
          <a:off x="9210674" y="11819733"/>
          <a:ext cx="8060825" cy="6249191"/>
        </a:xfrm>
        <a:prstGeom prst="rect">
          <a:avLst/>
        </a:prstGeom>
      </xdr:spPr>
    </xdr:pic>
    <xdr:clientData/>
  </xdr:twoCellAnchor>
  <xdr:twoCellAnchor editAs="oneCell">
    <xdr:from>
      <xdr:col>13</xdr:col>
      <xdr:colOff>723900</xdr:colOff>
      <xdr:row>73</xdr:row>
      <xdr:rowOff>47625</xdr:rowOff>
    </xdr:from>
    <xdr:to>
      <xdr:col>22</xdr:col>
      <xdr:colOff>398145</xdr:colOff>
      <xdr:row>101</xdr:row>
      <xdr:rowOff>55245</xdr:rowOff>
    </xdr:to>
    <xdr:pic>
      <xdr:nvPicPr>
        <xdr:cNvPr id="9" name="8 Imagen"/>
        <xdr:cNvPicPr>
          <a:picLocks noChangeAspect="1"/>
        </xdr:cNvPicPr>
      </xdr:nvPicPr>
      <xdr:blipFill>
        <a:blip xmlns:r="http://schemas.openxmlformats.org/officeDocument/2006/relationships" r:embed="rId3"/>
        <a:stretch>
          <a:fillRect/>
        </a:stretch>
      </xdr:blipFill>
      <xdr:spPr>
        <a:xfrm>
          <a:off x="17364075" y="13525500"/>
          <a:ext cx="6560820" cy="4541520"/>
        </a:xfrm>
        <a:prstGeom prst="rect">
          <a:avLst/>
        </a:prstGeom>
      </xdr:spPr>
    </xdr:pic>
    <xdr:clientData/>
  </xdr:twoCellAnchor>
  <xdr:twoCellAnchor editAs="oneCell">
    <xdr:from>
      <xdr:col>0</xdr:col>
      <xdr:colOff>66675</xdr:colOff>
      <xdr:row>17</xdr:row>
      <xdr:rowOff>126351</xdr:rowOff>
    </xdr:from>
    <xdr:to>
      <xdr:col>5</xdr:col>
      <xdr:colOff>666750</xdr:colOff>
      <xdr:row>56</xdr:row>
      <xdr:rowOff>49529</xdr:rowOff>
    </xdr:to>
    <xdr:pic>
      <xdr:nvPicPr>
        <xdr:cNvPr id="8" name="7 Imagen"/>
        <xdr:cNvPicPr>
          <a:picLocks noChangeAspect="1"/>
        </xdr:cNvPicPr>
      </xdr:nvPicPr>
      <xdr:blipFill>
        <a:blip xmlns:r="http://schemas.openxmlformats.org/officeDocument/2006/relationships" r:embed="rId4"/>
        <a:stretch>
          <a:fillRect/>
        </a:stretch>
      </xdr:blipFill>
      <xdr:spPr>
        <a:xfrm>
          <a:off x="66675" y="4507851"/>
          <a:ext cx="8982075" cy="6238253"/>
        </a:xfrm>
        <a:prstGeom prst="rect">
          <a:avLst/>
        </a:prstGeom>
      </xdr:spPr>
    </xdr:pic>
    <xdr:clientData/>
  </xdr:twoCellAnchor>
  <xdr:twoCellAnchor editAs="oneCell">
    <xdr:from>
      <xdr:col>5</xdr:col>
      <xdr:colOff>804900</xdr:colOff>
      <xdr:row>17</xdr:row>
      <xdr:rowOff>66674</xdr:rowOff>
    </xdr:from>
    <xdr:to>
      <xdr:col>12</xdr:col>
      <xdr:colOff>569595</xdr:colOff>
      <xdr:row>56</xdr:row>
      <xdr:rowOff>17144</xdr:rowOff>
    </xdr:to>
    <xdr:pic>
      <xdr:nvPicPr>
        <xdr:cNvPr id="11" name="10 Imagen"/>
        <xdr:cNvPicPr>
          <a:picLocks noChangeAspect="1"/>
        </xdr:cNvPicPr>
      </xdr:nvPicPr>
      <xdr:blipFill>
        <a:blip xmlns:r="http://schemas.openxmlformats.org/officeDocument/2006/relationships" r:embed="rId5"/>
        <a:stretch>
          <a:fillRect/>
        </a:stretch>
      </xdr:blipFill>
      <xdr:spPr>
        <a:xfrm>
          <a:off x="9186900" y="4448174"/>
          <a:ext cx="6784620" cy="6265545"/>
        </a:xfrm>
        <a:prstGeom prst="rect">
          <a:avLst/>
        </a:prstGeom>
      </xdr:spPr>
    </xdr:pic>
    <xdr:clientData/>
  </xdr:twoCellAnchor>
  <xdr:twoCellAnchor editAs="oneCell">
    <xdr:from>
      <xdr:col>12</xdr:col>
      <xdr:colOff>771525</xdr:colOff>
      <xdr:row>16</xdr:row>
      <xdr:rowOff>28575</xdr:rowOff>
    </xdr:from>
    <xdr:to>
      <xdr:col>18</xdr:col>
      <xdr:colOff>521818</xdr:colOff>
      <xdr:row>55</xdr:row>
      <xdr:rowOff>157673</xdr:rowOff>
    </xdr:to>
    <xdr:pic>
      <xdr:nvPicPr>
        <xdr:cNvPr id="13" name="12 Imagen"/>
        <xdr:cNvPicPr>
          <a:picLocks noChangeAspect="1"/>
        </xdr:cNvPicPr>
      </xdr:nvPicPr>
      <xdr:blipFill>
        <a:blip xmlns:r="http://schemas.openxmlformats.org/officeDocument/2006/relationships" r:embed="rId6"/>
        <a:stretch>
          <a:fillRect/>
        </a:stretch>
      </xdr:blipFill>
      <xdr:spPr>
        <a:xfrm>
          <a:off x="16173450" y="4181475"/>
          <a:ext cx="4827118" cy="651084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847725</xdr:colOff>
      <xdr:row>26</xdr:row>
      <xdr:rowOff>107951</xdr:rowOff>
    </xdr:from>
    <xdr:to>
      <xdr:col>10</xdr:col>
      <xdr:colOff>555588</xdr:colOff>
      <xdr:row>59</xdr:row>
      <xdr:rowOff>24260</xdr:rowOff>
    </xdr:to>
    <xdr:pic>
      <xdr:nvPicPr>
        <xdr:cNvPr id="7201" name="Picture 1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38450" y="5013326"/>
          <a:ext cx="8261313" cy="51741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104775</xdr:colOff>
      <xdr:row>117</xdr:row>
      <xdr:rowOff>123825</xdr:rowOff>
    </xdr:from>
    <xdr:to>
      <xdr:col>5</xdr:col>
      <xdr:colOff>1041952</xdr:colOff>
      <xdr:row>143</xdr:row>
      <xdr:rowOff>44450</xdr:rowOff>
    </xdr:to>
    <xdr:pic>
      <xdr:nvPicPr>
        <xdr:cNvPr id="3" name="Picture 2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4775" y="20897850"/>
          <a:ext cx="6185452" cy="413067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0</xdr:col>
      <xdr:colOff>92075</xdr:colOff>
      <xdr:row>145</xdr:row>
      <xdr:rowOff>73025</xdr:rowOff>
    </xdr:from>
    <xdr:to>
      <xdr:col>5</xdr:col>
      <xdr:colOff>942975</xdr:colOff>
      <xdr:row>171</xdr:row>
      <xdr:rowOff>76200</xdr:rowOff>
    </xdr:to>
    <xdr:pic>
      <xdr:nvPicPr>
        <xdr:cNvPr id="4" name="Picture 22"/>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2075" y="25552400"/>
          <a:ext cx="6099175" cy="4213225"/>
        </a:xfrm>
        <a:prstGeom prst="rect">
          <a:avLst/>
        </a:prstGeom>
        <a:solidFill>
          <a:srgbClr val="FFFF00"/>
        </a:solidFill>
        <a:ln w="0">
          <a:solidFill>
            <a:srgbClr val="FF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7</xdr:col>
      <xdr:colOff>111124</xdr:colOff>
      <xdr:row>117</xdr:row>
      <xdr:rowOff>101600</xdr:rowOff>
    </xdr:from>
    <xdr:to>
      <xdr:col>12</xdr:col>
      <xdr:colOff>657225</xdr:colOff>
      <xdr:row>143</xdr:row>
      <xdr:rowOff>47625</xdr:rowOff>
    </xdr:to>
    <xdr:pic>
      <xdr:nvPicPr>
        <xdr:cNvPr id="5" name="Picture 23"/>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531099" y="20875625"/>
          <a:ext cx="5842001" cy="415607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7</xdr:col>
      <xdr:colOff>104775</xdr:colOff>
      <xdr:row>145</xdr:row>
      <xdr:rowOff>120650</xdr:rowOff>
    </xdr:from>
    <xdr:to>
      <xdr:col>12</xdr:col>
      <xdr:colOff>666751</xdr:colOff>
      <xdr:row>171</xdr:row>
      <xdr:rowOff>85725</xdr:rowOff>
    </xdr:to>
    <xdr:pic>
      <xdr:nvPicPr>
        <xdr:cNvPr id="6" name="Picture 24"/>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524750" y="25600025"/>
          <a:ext cx="5857876" cy="417512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0</xdr:col>
      <xdr:colOff>180976</xdr:colOff>
      <xdr:row>89</xdr:row>
      <xdr:rowOff>41769</xdr:rowOff>
    </xdr:from>
    <xdr:to>
      <xdr:col>5</xdr:col>
      <xdr:colOff>952500</xdr:colOff>
      <xdr:row>114</xdr:row>
      <xdr:rowOff>120650</xdr:rowOff>
    </xdr:to>
    <xdr:pic>
      <xdr:nvPicPr>
        <xdr:cNvPr id="7" name="Picture 25"/>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80976" y="16110444"/>
          <a:ext cx="6019799" cy="4127006"/>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7</xdr:col>
      <xdr:colOff>206376</xdr:colOff>
      <xdr:row>62</xdr:row>
      <xdr:rowOff>123825</xdr:rowOff>
    </xdr:from>
    <xdr:to>
      <xdr:col>12</xdr:col>
      <xdr:colOff>695326</xdr:colOff>
      <xdr:row>85</xdr:row>
      <xdr:rowOff>317500</xdr:rowOff>
    </xdr:to>
    <xdr:pic>
      <xdr:nvPicPr>
        <xdr:cNvPr id="8" name="Picture 26"/>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7626351" y="11087100"/>
          <a:ext cx="5784850" cy="430847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7</xdr:col>
      <xdr:colOff>117474</xdr:colOff>
      <xdr:row>89</xdr:row>
      <xdr:rowOff>38100</xdr:rowOff>
    </xdr:from>
    <xdr:to>
      <xdr:col>12</xdr:col>
      <xdr:colOff>695325</xdr:colOff>
      <xdr:row>115</xdr:row>
      <xdr:rowOff>28575</xdr:rowOff>
    </xdr:to>
    <xdr:pic>
      <xdr:nvPicPr>
        <xdr:cNvPr id="9" name="Picture 27"/>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7537449" y="16106775"/>
          <a:ext cx="5873751" cy="420052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0</xdr:col>
      <xdr:colOff>88900</xdr:colOff>
      <xdr:row>173</xdr:row>
      <xdr:rowOff>88901</xdr:rowOff>
    </xdr:from>
    <xdr:to>
      <xdr:col>5</xdr:col>
      <xdr:colOff>962025</xdr:colOff>
      <xdr:row>199</xdr:row>
      <xdr:rowOff>95251</xdr:rowOff>
    </xdr:to>
    <xdr:pic>
      <xdr:nvPicPr>
        <xdr:cNvPr id="10" name="1 Imagen"/>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88900" y="30273626"/>
          <a:ext cx="6121400" cy="421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92076</xdr:colOff>
      <xdr:row>173</xdr:row>
      <xdr:rowOff>66675</xdr:rowOff>
    </xdr:from>
    <xdr:to>
      <xdr:col>12</xdr:col>
      <xdr:colOff>628650</xdr:colOff>
      <xdr:row>199</xdr:row>
      <xdr:rowOff>95250</xdr:rowOff>
    </xdr:to>
    <xdr:pic>
      <xdr:nvPicPr>
        <xdr:cNvPr id="11" name="2 Imagen"/>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7512051" y="30251400"/>
          <a:ext cx="5832474" cy="423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DE/Regulacion/Reg2012/Reg062012/Energ&#237;a/Preliminar24Oct/TF04112011_TOTA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FactoresActualizacion"/>
      <sheetName val="PNG"/>
      <sheetName val="Transporte"/>
      <sheetName val="Resolucion_VAD"/>
      <sheetName val="VAD_VARIOS"/>
      <sheetName val="FpondVAD"/>
      <sheetName val="PBEMT"/>
      <sheetName val="Pliego"/>
      <sheetName val="PliegoFOSE"/>
      <sheetName val="Cargos"/>
      <sheetName val="CargosFOSE"/>
      <sheetName val="ResumenPliegosFOSE"/>
      <sheetName val="ResumenPliegosSF"/>
      <sheetName val="PreciosMediosFose"/>
      <sheetName val="EstructuraBT5B"/>
      <sheetName val="CalculoPmFOSE"/>
      <sheetName val="PliegosWeb"/>
    </sheetNames>
    <sheetDataSet>
      <sheetData sheetId="0">
        <row r="2">
          <cell r="C2">
            <v>40851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rvapp05.osinerg.gob.pe/portal/server.pt/gateway/PTARGS_0_2253274_0_0_18/000333_Reg_000096_Platts_Metals_Week.pdf" TargetMode="External"/><Relationship Id="rId13" Type="http://schemas.openxmlformats.org/officeDocument/2006/relationships/vmlDrawing" Target="../drawings/vmlDrawing1.vml"/><Relationship Id="rId18" Type="http://schemas.openxmlformats.org/officeDocument/2006/relationships/oleObject" Target="../embeddings/oleObject3.bin"/><Relationship Id="rId3" Type="http://schemas.openxmlformats.org/officeDocument/2006/relationships/hyperlink" Target="http://srvapp05.osinerg.gob.pe/portal/server.pt/gateway/PTARGS_0_1508819_0_0_18/000333_Reg_007754_Platts_Metals_Week.pdf" TargetMode="External"/><Relationship Id="rId21" Type="http://schemas.openxmlformats.org/officeDocument/2006/relationships/image" Target="../media/image8.wmf"/><Relationship Id="rId7" Type="http://schemas.openxmlformats.org/officeDocument/2006/relationships/hyperlink" Target="http://srvapp05.osinerg.gob.pe/portal/server.pt/gateway/PTARGS_0_2253265_0_0_18/000333_Reg_000093_Platts_Metals_Week.pdf" TargetMode="External"/><Relationship Id="rId12" Type="http://schemas.openxmlformats.org/officeDocument/2006/relationships/drawing" Target="../drawings/drawing2.xml"/><Relationship Id="rId17" Type="http://schemas.openxmlformats.org/officeDocument/2006/relationships/image" Target="../media/image6.wmf"/><Relationship Id="rId2" Type="http://schemas.openxmlformats.org/officeDocument/2006/relationships/hyperlink" Target="http://srvapp05.osinerg.gob.pe/portal/server.pt/gateway/PTARGS_0_2253271_0_0_18/000333_Reg_000095_Platts_Metals_Week.pdf" TargetMode="External"/><Relationship Id="rId16" Type="http://schemas.openxmlformats.org/officeDocument/2006/relationships/oleObject" Target="../embeddings/oleObject2.bin"/><Relationship Id="rId20" Type="http://schemas.openxmlformats.org/officeDocument/2006/relationships/oleObject" Target="../embeddings/oleObject4.bin"/><Relationship Id="rId1" Type="http://schemas.openxmlformats.org/officeDocument/2006/relationships/hyperlink" Target="http://srvapp05.osinerg.gob.pe/portal/server.pt/gateway/PTARGS_0_2253286_0_0_18/000333_Reg_000100_Platts_Metals_Week.pdf" TargetMode="External"/><Relationship Id="rId6" Type="http://schemas.openxmlformats.org/officeDocument/2006/relationships/hyperlink" Target="http://srvapp05.osinerg.gob.pe/portal/server.pt/gateway/PTARGS_0_2253268_0_0_18/000333_Reg_000094_Platts_Metals_Week.pdf" TargetMode="External"/><Relationship Id="rId11" Type="http://schemas.openxmlformats.org/officeDocument/2006/relationships/printerSettings" Target="../printerSettings/printerSettings2.bin"/><Relationship Id="rId5" Type="http://schemas.openxmlformats.org/officeDocument/2006/relationships/hyperlink" Target="http://srvapp05.osinerg.gob.pe/portal/server.pt/gateway/PTARGS_0_2252324_0_0_18/000333_Reg_000010_Platts_Metal_Week.pdf" TargetMode="External"/><Relationship Id="rId15" Type="http://schemas.openxmlformats.org/officeDocument/2006/relationships/image" Target="../media/image5.wmf"/><Relationship Id="rId10" Type="http://schemas.openxmlformats.org/officeDocument/2006/relationships/hyperlink" Target="http://srvapp05.osinerg.gob.pe/portal/server.pt/gateway/PTARGS_0_2253268_0_0_18/000333_Reg_000094_Platts_Metals_Week.pdf" TargetMode="External"/><Relationship Id="rId19" Type="http://schemas.openxmlformats.org/officeDocument/2006/relationships/image" Target="../media/image7.wmf"/><Relationship Id="rId4" Type="http://schemas.openxmlformats.org/officeDocument/2006/relationships/hyperlink" Target="http://srvapp05.osinerg.gob.pe/portal/server.pt/gateway/PTARGS_0_2252321_0_0_18/000333_Reg_000009_Platts_Metal_Week.pdf" TargetMode="External"/><Relationship Id="rId9" Type="http://schemas.openxmlformats.org/officeDocument/2006/relationships/hyperlink" Target="http://srvapp05.osinerg.gob.pe/portal/server.pt/gateway/PTARGS_0_1312389_0_0_18/000333_Reg_007528_Platts_Metals_Week.pdf" TargetMode="External"/><Relationship Id="rId14" Type="http://schemas.openxmlformats.org/officeDocument/2006/relationships/oleObject" Target="../embeddings/oleObject1.bin"/><Relationship Id="rId22"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2.osinerg.gob.pe/PreciosReferencia/pdf/2010/Diciembre/Potencia_Efectiva_Unidades_Duales(DP).PDF"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omments" Target="../comments3.xml"/><Relationship Id="rId3" Type="http://schemas.openxmlformats.org/officeDocument/2006/relationships/hyperlink" Target="http://www.bcrp.gob.pe/docs/Estadisticas/Cuadros-Estadisticos/NC_058.xls" TargetMode="External"/><Relationship Id="rId7" Type="http://schemas.openxmlformats.org/officeDocument/2006/relationships/vmlDrawing" Target="../drawings/vmlDrawing3.vml"/><Relationship Id="rId2" Type="http://schemas.openxmlformats.org/officeDocument/2006/relationships/hyperlink" Target="http://srvapp05.osinerg.gob.pe/portal/server.pt/gateway/PTARGS_0_2599695_0_0_18/000333_Reg_001515_Platts_Metals_Week.pdf" TargetMode="External"/><Relationship Id="rId1" Type="http://schemas.openxmlformats.org/officeDocument/2006/relationships/hyperlink" Target="http://srvapp05.osinerg.gob.pe/portal/server.pt/gateway/PTARGS_0_2590222_0_0_18/000333_Reg_001285_Platts_Metals_Week.pdf" TargetMode="External"/><Relationship Id="rId6" Type="http://schemas.openxmlformats.org/officeDocument/2006/relationships/drawing" Target="../drawings/drawing4.xml"/><Relationship Id="rId5" Type="http://schemas.openxmlformats.org/officeDocument/2006/relationships/printerSettings" Target="../printerSettings/printerSettings5.bin"/><Relationship Id="rId4" Type="http://schemas.openxmlformats.org/officeDocument/2006/relationships/hyperlink" Target="http://www.sbs.gob.pe/app/stats/tc-cv.asp"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2.osinerg.gob.pe/PreciosReferencia/TarPreciosReferencia_2012.html" TargetMode="External"/><Relationship Id="rId1" Type="http://schemas.openxmlformats.org/officeDocument/2006/relationships/hyperlink" Target="http://www.petroperu.com.pe/portalweb/Main.asp?Seccion=4" TargetMode="External"/><Relationship Id="rId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www.aduanet.gob.pe/itarancel/arancelS01Alias"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2:O88"/>
  <sheetViews>
    <sheetView showGridLines="0" tabSelected="1" zoomScaleNormal="100" workbookViewId="0"/>
  </sheetViews>
  <sheetFormatPr baseColWidth="10" defaultColWidth="8.88671875" defaultRowHeight="12.75"/>
  <cols>
    <col min="1" max="1" width="3.88671875" style="174" customWidth="1"/>
    <col min="2" max="2" width="23" style="174" customWidth="1"/>
    <col min="3" max="3" width="9.5546875" style="174" bestFit="1" customWidth="1"/>
    <col min="4" max="4" width="9.44140625" style="174" bestFit="1" customWidth="1"/>
    <col min="5" max="5" width="9.88671875" style="174" customWidth="1"/>
    <col min="6" max="6" width="9.88671875" style="174" bestFit="1" customWidth="1"/>
    <col min="7" max="7" width="14.77734375" style="174" customWidth="1"/>
    <col min="8" max="9" width="9.6640625" style="174" customWidth="1"/>
    <col min="10" max="10" width="10.44140625" style="174" customWidth="1"/>
    <col min="11" max="11" width="13.21875" style="174" customWidth="1"/>
    <col min="12" max="12" width="12.33203125" style="174" customWidth="1"/>
    <col min="13" max="15" width="11.33203125" style="174" customWidth="1"/>
    <col min="16" max="16" width="8.88671875" style="174"/>
    <col min="17" max="17" width="9.21875" style="174" customWidth="1"/>
    <col min="18" max="16384" width="8.88671875" style="174"/>
  </cols>
  <sheetData>
    <row r="2" spans="1:12" ht="26.25">
      <c r="B2" s="517" t="str">
        <f>CONCATENATE("Reajuste al ",TEXT(Historico!O3,"dd/mmmm/yyyy"))</f>
        <v>Reajuste al 04/septiembre/2012</v>
      </c>
      <c r="G2" s="531"/>
      <c r="H2" s="652" t="s">
        <v>368</v>
      </c>
    </row>
    <row r="3" spans="1:12">
      <c r="G3" s="532"/>
      <c r="H3" s="652" t="s">
        <v>369</v>
      </c>
    </row>
    <row r="5" spans="1:12">
      <c r="B5" s="172" t="s">
        <v>213</v>
      </c>
      <c r="C5" s="173" t="s">
        <v>214</v>
      </c>
      <c r="D5" s="173" t="s">
        <v>214</v>
      </c>
      <c r="E5" s="173" t="s">
        <v>214</v>
      </c>
      <c r="F5" s="173" t="s">
        <v>284</v>
      </c>
      <c r="J5" s="653" t="s">
        <v>489</v>
      </c>
    </row>
    <row r="6" spans="1:12">
      <c r="B6" s="175" t="s">
        <v>215</v>
      </c>
      <c r="C6" s="176" t="s">
        <v>216</v>
      </c>
      <c r="D6" s="176" t="s">
        <v>217</v>
      </c>
      <c r="E6" s="176" t="s">
        <v>470</v>
      </c>
      <c r="F6" s="176" t="s">
        <v>471</v>
      </c>
    </row>
    <row r="7" spans="1:12">
      <c r="B7" s="177" t="s">
        <v>218</v>
      </c>
      <c r="C7" s="640">
        <f>MIN(Factores!$D$6:$D$8)</f>
        <v>-1.1384243401168725E-2</v>
      </c>
      <c r="D7" s="632">
        <f>MAX(Factores!$D$6:$D$8)</f>
        <v>3.6474164133739606E-3</v>
      </c>
      <c r="E7" s="614">
        <v>0.05</v>
      </c>
      <c r="F7" s="545" t="str">
        <f>IF(AND(DAY(Factores!F3)=1,MONTH(Factores!F3)=5),"Ft",IF(AND(OR(OR(-E7&gt;C7,C7&gt;E7,-E7&gt;D7,D7&gt;E7)=TRUE,OR(-E9&gt;C9,C9&gt;E9,-E9&gt;D9,D9&gt;E9)=TRUE,OR(-E10&gt;C10,C10&gt;E10,-E10&gt;D10,D10&gt;E10)=TRUE)=TRUE)=TRUE,"Ft","Ft-1"))</f>
        <v>Ft-1</v>
      </c>
    </row>
    <row r="8" spans="1:12">
      <c r="B8" s="177" t="s">
        <v>444</v>
      </c>
      <c r="C8" s="632">
        <f>MIN(Factores!$D$9:$D$19)</f>
        <v>-8.7191822008418907E-3</v>
      </c>
      <c r="D8" s="632">
        <f>MAX(Factores!$D$9:$D$19)</f>
        <v>1.8603720744148733E-2</v>
      </c>
      <c r="E8" s="615">
        <v>1.4999999999999999E-2</v>
      </c>
      <c r="F8" s="545" t="str">
        <f>IF(AND(DAY(Factores!F3)=1,MONTH(Factores!F3)=5),"Ft",IF(AND(OR(-E8&gt;C8,C8&gt;E8,-E8&gt;D8,D8&gt;E8)=TRUE)=TRUE,"Ft","Ft-1"))</f>
        <v>Ft</v>
      </c>
    </row>
    <row r="9" spans="1:12">
      <c r="B9" s="177" t="s">
        <v>24</v>
      </c>
      <c r="C9" s="640">
        <f>MIN(Factores!$D$23:$D$30)</f>
        <v>-4.8097826086956674E-2</v>
      </c>
      <c r="D9" s="632">
        <f>MAX(Factores!$D$23:$D$30)</f>
        <v>-1.0948171956609132E-2</v>
      </c>
      <c r="E9" s="614">
        <v>0.05</v>
      </c>
      <c r="F9" s="545" t="str">
        <f>IF(AND(DAY(Factores!F3)=1,MONTH(Factores!F3)=5),"Ft",IF(AND(OR(OR(-E7&gt;C7,C7&gt;E7,-E7&gt;D7,D7&gt;E7)=TRUE,OR(-E9&gt;C9,C9&gt;E9,-E9&gt;D9,D9&gt;E9)=TRUE,OR(-E10&gt;C10,C10&gt;E10,-E10&gt;D10,D10&gt;E10)=TRUE)=TRUE)=TRUE,"Ft","Ft-1"))</f>
        <v>Ft-1</v>
      </c>
    </row>
    <row r="10" spans="1:12">
      <c r="B10" s="177" t="s">
        <v>219</v>
      </c>
      <c r="C10" s="640">
        <f>MIN(Factores!$D$32:$D$51)</f>
        <v>-2.1259686071925299E-2</v>
      </c>
      <c r="D10" s="632">
        <f>MAX(Factores!$D$32:$D$51)</f>
        <v>-1.0934182590233488E-2</v>
      </c>
      <c r="E10" s="614">
        <v>0.05</v>
      </c>
      <c r="F10" s="545" t="str">
        <f>IF(AND(DAY(Factores!F3)=1,MONTH(Factores!F3)=5),"Ft",IF(AND(OR(OR(-E7&gt;C7,C7&gt;E7,-E7&gt;D7,D7&gt;E7)=TRUE,OR(-E9&gt;C9,C9&gt;E9,-E9&gt;D9,D9&gt;E9)=TRUE,OR(-E10&gt;C10,C10&gt;E10,-E10&gt;D10,D10&gt;E10)=TRUE)=TRUE)=TRUE,"Ft","Ft-1"))</f>
        <v>Ft-1</v>
      </c>
    </row>
    <row r="11" spans="1:12">
      <c r="B11" s="177" t="s">
        <v>220</v>
      </c>
      <c r="C11" s="640">
        <f>MIN(Factores!$D$54:$D$86)</f>
        <v>-1.7149857084524323E-2</v>
      </c>
      <c r="D11" s="632">
        <f>MAX(Factores!$D$54:$D$86)</f>
        <v>-5.9760956175298752E-3</v>
      </c>
      <c r="E11" s="534">
        <v>1.4999999999999999E-2</v>
      </c>
      <c r="F11" s="545" t="str">
        <f>IF(AND(DAY(Factores!F3)=1,MONTH(Factores!F3)=5),"Ft",IF(OR(AND(OR(-E8&gt;C8,C8&gt;E8,-E8&gt;D8,D8&gt;E8)=TRUE)=TRUE,OR(OR(-E7&gt;C7,C7&gt;E7,-E7&gt;D7,D7&gt;E7)=TRUE,OR(-E9&gt;C9,C9&gt;E9,-E9&gt;D9,D9&gt;E9)=TRUE,OR(-E10&gt;C10,C10&gt;E10,-E10&gt;D10,D10&gt;E10)=TRUE,OR(-E11&gt;C11,C11&gt;E11,-E11&gt;D11,D11&gt;E11)=TRUE)=TRUE)=TRUE,"Ft","Ft-1"))</f>
        <v>Ft</v>
      </c>
    </row>
    <row r="12" spans="1:12">
      <c r="B12" s="177" t="s">
        <v>221</v>
      </c>
      <c r="C12" s="684">
        <f>+Factores!D20</f>
        <v>0</v>
      </c>
      <c r="D12" s="685"/>
      <c r="E12" s="533">
        <v>0.01</v>
      </c>
      <c r="F12" s="545" t="str">
        <f>IF(AND(DAY(Factores!F3)=1,MONTH(Factores!F3)=5),"Ft",IF(AND(OR(-E12&gt;C12,C12&gt;E12)=TRUE)=TRUE,"Ft","Ft-1"))</f>
        <v>Ft-1</v>
      </c>
    </row>
    <row r="13" spans="1:12">
      <c r="A13" s="254"/>
      <c r="B13" s="541" t="s">
        <v>472</v>
      </c>
      <c r="C13" s="542" t="s">
        <v>474</v>
      </c>
      <c r="D13" s="254"/>
      <c r="E13" s="254"/>
      <c r="F13" s="257"/>
    </row>
    <row r="14" spans="1:12">
      <c r="A14" s="178"/>
      <c r="C14" s="542" t="s">
        <v>473</v>
      </c>
      <c r="F14" s="254"/>
    </row>
    <row r="15" spans="1:12">
      <c r="C15" s="254" t="s">
        <v>475</v>
      </c>
      <c r="F15" s="254"/>
    </row>
    <row r="16" spans="1:12">
      <c r="B16" s="313" t="s">
        <v>359</v>
      </c>
      <c r="I16" s="254"/>
      <c r="L16" s="651" t="s">
        <v>554</v>
      </c>
    </row>
    <row r="17" spans="2:10">
      <c r="B17" s="178"/>
    </row>
    <row r="18" spans="2:10">
      <c r="B18" s="247" t="s">
        <v>445</v>
      </c>
      <c r="C18" s="248">
        <v>41125</v>
      </c>
      <c r="D18" s="248">
        <f>+Historico!O3</f>
        <v>41156</v>
      </c>
      <c r="E18" s="249" t="s">
        <v>8</v>
      </c>
      <c r="J18" s="653" t="s">
        <v>553</v>
      </c>
    </row>
    <row r="19" spans="2:10">
      <c r="B19" s="250" t="s">
        <v>0</v>
      </c>
      <c r="C19" s="378">
        <v>207.550522</v>
      </c>
      <c r="D19" s="378">
        <f>+'IPM-TC-COBRE-ALUMINIO'!G6</f>
        <v>208.04809</v>
      </c>
      <c r="E19" s="318">
        <f>+D19/C19-1</f>
        <v>2.3973343704719596E-3</v>
      </c>
    </row>
    <row r="20" spans="2:10">
      <c r="B20" s="250" t="s">
        <v>11</v>
      </c>
      <c r="C20" s="253">
        <v>2.629</v>
      </c>
      <c r="D20" s="253">
        <f>+'IPM-TC-COBRE-ALUMINIO'!F6</f>
        <v>2.61</v>
      </c>
      <c r="E20" s="318">
        <f t="shared" ref="E20:E25" si="0">+D20/C20-1</f>
        <v>-7.2270825408901063E-3</v>
      </c>
    </row>
    <row r="21" spans="2:10">
      <c r="B21" s="250" t="s">
        <v>63</v>
      </c>
      <c r="C21" s="253">
        <v>6.5510000000000002</v>
      </c>
      <c r="D21" s="253">
        <f>+COMBUSTIBLES!R9</f>
        <v>6.5039999999999996</v>
      </c>
      <c r="E21" s="318">
        <f>+D21/C21-1</f>
        <v>-7.1744771790567263E-3</v>
      </c>
    </row>
    <row r="22" spans="2:10">
      <c r="B22" s="250" t="s">
        <v>64</v>
      </c>
      <c r="C22" s="253">
        <v>115.96</v>
      </c>
      <c r="D22" s="253">
        <f>+COMBUSTIBLES!P9</f>
        <v>113.45</v>
      </c>
      <c r="E22" s="318">
        <f t="shared" si="0"/>
        <v>-2.1645394963780484E-2</v>
      </c>
    </row>
    <row r="23" spans="2:10">
      <c r="B23" s="250" t="s">
        <v>355</v>
      </c>
      <c r="C23" s="253">
        <v>9.11</v>
      </c>
      <c r="D23" s="253">
        <f>+COMBUSTIBLES!E9+COMBUSTIBLES!G9</f>
        <v>9.7999999999999989</v>
      </c>
      <c r="E23" s="318">
        <f t="shared" si="0"/>
        <v>7.574094401756315E-2</v>
      </c>
      <c r="F23" s="254"/>
    </row>
    <row r="24" spans="2:10">
      <c r="B24" s="250" t="s">
        <v>335</v>
      </c>
      <c r="C24" s="253">
        <v>6.4399999999999995</v>
      </c>
      <c r="D24" s="253">
        <f>+COMBUSTIBLES!F9+COMBUSTIBLES!H9</f>
        <v>6.89</v>
      </c>
      <c r="E24" s="318">
        <f t="shared" si="0"/>
        <v>6.9875776397515521E-2</v>
      </c>
    </row>
    <row r="25" spans="2:10">
      <c r="B25" s="250" t="s">
        <v>356</v>
      </c>
      <c r="C25" s="253">
        <v>10.229999999999999</v>
      </c>
      <c r="D25" s="253">
        <f>+COMBUSTIBLES!E10+COMBUSTIBLES!G10</f>
        <v>10.389999999999999</v>
      </c>
      <c r="E25" s="318">
        <f t="shared" si="0"/>
        <v>1.564027370478982E-2</v>
      </c>
    </row>
    <row r="26" spans="2:10">
      <c r="B26" s="250" t="s">
        <v>357</v>
      </c>
      <c r="C26" s="253">
        <v>9.5299999999999994</v>
      </c>
      <c r="D26" s="253">
        <f>+COMBUSTIBLES!E11+COMBUSTIBLES!G11</f>
        <v>9.69</v>
      </c>
      <c r="E26" s="318">
        <f>+D26/C26-1</f>
        <v>1.6789087093389332E-2</v>
      </c>
    </row>
    <row r="27" spans="2:10">
      <c r="B27" s="250" t="s">
        <v>338</v>
      </c>
      <c r="C27" s="253">
        <v>7.78</v>
      </c>
      <c r="D27" s="253">
        <f>+COMBUSTIBLES!F11+COMBUSTIBLES!H11</f>
        <v>7.81</v>
      </c>
      <c r="E27" s="318">
        <f>+D27/C27-1</f>
        <v>3.85604113110527E-3</v>
      </c>
    </row>
    <row r="28" spans="2:10">
      <c r="B28" s="250" t="s">
        <v>358</v>
      </c>
      <c r="C28" s="253">
        <v>10.92</v>
      </c>
      <c r="D28" s="253">
        <f>+COMBUSTIBLES!E13+COMBUSTIBLES!G13</f>
        <v>10.89</v>
      </c>
      <c r="E28" s="318">
        <f>+D28/C28-1</f>
        <v>-2.7472527472527375E-3</v>
      </c>
      <c r="I28" s="317"/>
    </row>
    <row r="29" spans="2:10">
      <c r="B29" s="377" t="s">
        <v>92</v>
      </c>
      <c r="C29" s="412">
        <v>370.31000000000012</v>
      </c>
      <c r="D29" s="413">
        <f>+'IPM-TC-COBRE-ALUMINIO'!E6</f>
        <v>362.63749999999999</v>
      </c>
      <c r="E29" s="318">
        <f>+D29/C29-1</f>
        <v>-2.0719127217736832E-2</v>
      </c>
      <c r="I29" s="317"/>
    </row>
    <row r="30" spans="2:10">
      <c r="B30" s="377" t="s">
        <v>93</v>
      </c>
      <c r="C30" s="412">
        <v>2172.0851153846152</v>
      </c>
      <c r="D30" s="413">
        <f>+'IPM-TC-COBRE-ALUMINIO'!D6</f>
        <v>2110.2591538461538</v>
      </c>
      <c r="E30" s="318">
        <f>+D30/C30-1</f>
        <v>-2.8463876070304761E-2</v>
      </c>
      <c r="I30" s="317"/>
    </row>
    <row r="31" spans="2:10">
      <c r="B31" s="454"/>
      <c r="C31" s="254"/>
      <c r="D31" s="254"/>
      <c r="E31" s="254"/>
      <c r="I31" s="317"/>
    </row>
    <row r="32" spans="2:10">
      <c r="B32" s="313" t="s">
        <v>556</v>
      </c>
      <c r="C32" s="254"/>
      <c r="D32" s="254"/>
      <c r="E32" s="254"/>
    </row>
    <row r="33" spans="2:15">
      <c r="B33" s="178" t="s">
        <v>352</v>
      </c>
    </row>
    <row r="34" spans="2:15">
      <c r="B34" s="247" t="s">
        <v>346</v>
      </c>
      <c r="C34" s="248">
        <v>41125</v>
      </c>
      <c r="D34" s="248">
        <f>+D18</f>
        <v>41156</v>
      </c>
      <c r="E34" s="249" t="s">
        <v>8</v>
      </c>
      <c r="G34" s="178" t="s">
        <v>351</v>
      </c>
      <c r="L34" s="178" t="s">
        <v>220</v>
      </c>
    </row>
    <row r="35" spans="2:15">
      <c r="B35" s="250" t="s">
        <v>0</v>
      </c>
      <c r="C35" s="251">
        <v>207.550522</v>
      </c>
      <c r="D35" s="251">
        <f t="shared" ref="D35:D40" si="1">+D19</f>
        <v>208.04809</v>
      </c>
      <c r="E35" s="252">
        <f t="shared" ref="E35:E40" si="2">+D35/C35-1</f>
        <v>2.3973343704719596E-3</v>
      </c>
      <c r="G35" s="247" t="s">
        <v>346</v>
      </c>
      <c r="H35" s="248">
        <v>41125</v>
      </c>
      <c r="I35" s="248">
        <f>+D43</f>
        <v>41156</v>
      </c>
      <c r="J35" s="249" t="s">
        <v>8</v>
      </c>
      <c r="L35" s="247" t="s">
        <v>346</v>
      </c>
      <c r="M35" s="248">
        <v>41125</v>
      </c>
      <c r="N35" s="248">
        <f>+I43</f>
        <v>41156</v>
      </c>
      <c r="O35" s="249" t="s">
        <v>8</v>
      </c>
    </row>
    <row r="36" spans="2:15">
      <c r="B36" s="250" t="s">
        <v>11</v>
      </c>
      <c r="C36" s="251">
        <v>2.629</v>
      </c>
      <c r="D36" s="251">
        <f t="shared" si="1"/>
        <v>2.61</v>
      </c>
      <c r="E36" s="252">
        <f t="shared" si="2"/>
        <v>-7.2270825408901063E-3</v>
      </c>
      <c r="G36" s="250" t="s">
        <v>0</v>
      </c>
      <c r="H36" s="251">
        <v>207.550522</v>
      </c>
      <c r="I36" s="251">
        <f>+D44</f>
        <v>208.04809</v>
      </c>
      <c r="J36" s="252">
        <f>+I36/H36-1</f>
        <v>2.3973343704719596E-3</v>
      </c>
      <c r="L36" s="250" t="s">
        <v>0</v>
      </c>
      <c r="M36" s="251">
        <v>207.550522</v>
      </c>
      <c r="N36" s="251">
        <f>+I44</f>
        <v>208.04809</v>
      </c>
      <c r="O36" s="252">
        <f>+N36/M36-1</f>
        <v>2.3973343704719596E-3</v>
      </c>
    </row>
    <row r="37" spans="2:15">
      <c r="B37" s="250" t="s">
        <v>63</v>
      </c>
      <c r="C37" s="253">
        <v>6.5510000000000002</v>
      </c>
      <c r="D37" s="251">
        <f t="shared" si="1"/>
        <v>6.5039999999999996</v>
      </c>
      <c r="E37" s="252">
        <f t="shared" si="2"/>
        <v>-7.1744771790567263E-3</v>
      </c>
      <c r="G37" s="250" t="s">
        <v>11</v>
      </c>
      <c r="H37" s="251">
        <v>2.629</v>
      </c>
      <c r="I37" s="251">
        <f>+D45</f>
        <v>2.61</v>
      </c>
      <c r="J37" s="252">
        <f>+I37/H37-1</f>
        <v>-7.2270825408901063E-3</v>
      </c>
      <c r="L37" s="250" t="s">
        <v>11</v>
      </c>
      <c r="M37" s="251">
        <v>2.629</v>
      </c>
      <c r="N37" s="251">
        <f>+I45</f>
        <v>2.61</v>
      </c>
      <c r="O37" s="252">
        <f>+N37/M37-1</f>
        <v>-7.2270825408901063E-3</v>
      </c>
    </row>
    <row r="38" spans="2:15">
      <c r="B38" s="250" t="s">
        <v>64</v>
      </c>
      <c r="C38" s="253">
        <v>115.96</v>
      </c>
      <c r="D38" s="251">
        <f t="shared" si="1"/>
        <v>113.45</v>
      </c>
      <c r="E38" s="252">
        <f t="shared" si="2"/>
        <v>-2.1645394963780484E-2</v>
      </c>
      <c r="G38" s="250" t="s">
        <v>92</v>
      </c>
      <c r="H38" s="253">
        <v>370.31000000000012</v>
      </c>
      <c r="I38" s="305">
        <f>+'IPM-TC-COBRE-ALUMINIO'!E6</f>
        <v>362.63749999999999</v>
      </c>
      <c r="J38" s="252">
        <f>+I38/H38-1</f>
        <v>-2.0719127217736832E-2</v>
      </c>
      <c r="L38" s="250" t="s">
        <v>92</v>
      </c>
      <c r="M38" s="253">
        <v>370.31000000000012</v>
      </c>
      <c r="N38" s="251">
        <f>+I46</f>
        <v>362.63749999999999</v>
      </c>
      <c r="O38" s="252">
        <f>+N38/M38-1</f>
        <v>-2.0719127217736832E-2</v>
      </c>
    </row>
    <row r="39" spans="2:15">
      <c r="B39" s="250" t="s">
        <v>334</v>
      </c>
      <c r="C39" s="251">
        <v>9.11</v>
      </c>
      <c r="D39" s="251">
        <f t="shared" si="1"/>
        <v>9.7999999999999989</v>
      </c>
      <c r="E39" s="252">
        <f t="shared" si="2"/>
        <v>7.574094401756315E-2</v>
      </c>
      <c r="F39" s="254"/>
      <c r="G39" s="250" t="s">
        <v>93</v>
      </c>
      <c r="H39" s="253">
        <v>2172.0851153846152</v>
      </c>
      <c r="I39" s="305">
        <f>+'IPM-TC-COBRE-ALUMINIO'!D6</f>
        <v>2110.2591538461538</v>
      </c>
      <c r="J39" s="252">
        <f>+I39/H39-1</f>
        <v>-2.8463876070304761E-2</v>
      </c>
      <c r="L39" s="250" t="s">
        <v>93</v>
      </c>
      <c r="M39" s="253">
        <v>2172.0851153846152</v>
      </c>
      <c r="N39" s="251">
        <f>+I47</f>
        <v>2110.2591538461538</v>
      </c>
      <c r="O39" s="252">
        <f>+N39/M39-1</f>
        <v>-2.8463876070304761E-2</v>
      </c>
    </row>
    <row r="40" spans="2:15">
      <c r="B40" s="250" t="s">
        <v>335</v>
      </c>
      <c r="C40" s="251">
        <v>6.4399999999999995</v>
      </c>
      <c r="D40" s="251">
        <f t="shared" si="1"/>
        <v>6.89</v>
      </c>
      <c r="E40" s="252">
        <f t="shared" si="2"/>
        <v>6.9875776397515521E-2</v>
      </c>
      <c r="L40" s="250" t="s">
        <v>340</v>
      </c>
      <c r="M40" s="281">
        <v>0</v>
      </c>
      <c r="N40" s="281">
        <f>+Factores!AO58</f>
        <v>0</v>
      </c>
      <c r="O40" s="318">
        <f>+N40-M40</f>
        <v>0</v>
      </c>
    </row>
    <row r="41" spans="2:15">
      <c r="B41" s="454"/>
      <c r="L41" s="250" t="s">
        <v>341</v>
      </c>
      <c r="M41" s="281">
        <v>0</v>
      </c>
      <c r="N41" s="281">
        <v>0</v>
      </c>
      <c r="O41" s="318">
        <v>0</v>
      </c>
    </row>
    <row r="42" spans="2:15" ht="12.75" customHeight="1">
      <c r="B42" s="178" t="s">
        <v>353</v>
      </c>
      <c r="G42" s="178" t="s">
        <v>18</v>
      </c>
    </row>
    <row r="43" spans="2:15">
      <c r="B43" s="247" t="s">
        <v>346</v>
      </c>
      <c r="C43" s="248">
        <v>41125</v>
      </c>
      <c r="D43" s="248">
        <f>+D34</f>
        <v>41156</v>
      </c>
      <c r="E43" s="249" t="s">
        <v>8</v>
      </c>
      <c r="G43" s="247" t="s">
        <v>346</v>
      </c>
      <c r="H43" s="248">
        <v>41125</v>
      </c>
      <c r="I43" s="248">
        <f>+I35</f>
        <v>41156</v>
      </c>
      <c r="J43" s="249" t="s">
        <v>8</v>
      </c>
      <c r="L43" s="178" t="s">
        <v>347</v>
      </c>
    </row>
    <row r="44" spans="2:15" ht="12.75" customHeight="1">
      <c r="B44" s="250" t="s">
        <v>0</v>
      </c>
      <c r="C44" s="251">
        <v>207.550522</v>
      </c>
      <c r="D44" s="251">
        <f>+D19</f>
        <v>208.04809</v>
      </c>
      <c r="E44" s="252">
        <f>+D44/C44-1</f>
        <v>2.3973343704719596E-3</v>
      </c>
      <c r="G44" s="250" t="s">
        <v>0</v>
      </c>
      <c r="H44" s="251">
        <v>207.550522</v>
      </c>
      <c r="I44" s="251">
        <f>+I36</f>
        <v>208.04809</v>
      </c>
      <c r="J44" s="252">
        <f>+I44/H44-1</f>
        <v>2.3973343704719596E-3</v>
      </c>
      <c r="L44" s="247" t="s">
        <v>346</v>
      </c>
      <c r="M44" s="248">
        <v>41125</v>
      </c>
      <c r="N44" s="248">
        <f>+N35</f>
        <v>41156</v>
      </c>
      <c r="O44" s="249" t="s">
        <v>349</v>
      </c>
    </row>
    <row r="45" spans="2:15">
      <c r="B45" s="250" t="s">
        <v>11</v>
      </c>
      <c r="C45" s="251">
        <v>2.629</v>
      </c>
      <c r="D45" s="251">
        <f>+D20</f>
        <v>2.61</v>
      </c>
      <c r="E45" s="252">
        <f>+D45/C45-1</f>
        <v>-7.2270825408901063E-3</v>
      </c>
      <c r="G45" s="250" t="s">
        <v>11</v>
      </c>
      <c r="H45" s="251">
        <v>2.629</v>
      </c>
      <c r="I45" s="251">
        <f>+I37</f>
        <v>2.61</v>
      </c>
      <c r="J45" s="252">
        <f>+I45/H45-1</f>
        <v>-7.2270825408901063E-3</v>
      </c>
      <c r="L45" s="288" t="s">
        <v>125</v>
      </c>
      <c r="M45" s="272">
        <v>1.0469999999999998E-2</v>
      </c>
      <c r="N45" s="289">
        <f>+Factores!I93</f>
        <v>1.0469999999999998E-2</v>
      </c>
      <c r="O45" s="289">
        <f>+N45-M45</f>
        <v>0</v>
      </c>
    </row>
    <row r="46" spans="2:15">
      <c r="B46" s="250" t="s">
        <v>63</v>
      </c>
      <c r="C46" s="251">
        <v>6.5510000000000002</v>
      </c>
      <c r="D46" s="251">
        <f>+D21</f>
        <v>6.5039999999999996</v>
      </c>
      <c r="E46" s="252">
        <f t="shared" ref="E46:E51" si="3">+D46/C46-1</f>
        <v>-7.1744771790567263E-3</v>
      </c>
      <c r="G46" s="250" t="s">
        <v>92</v>
      </c>
      <c r="H46" s="253">
        <v>370.31000000000012</v>
      </c>
      <c r="I46" s="251">
        <f>+I38</f>
        <v>362.63749999999999</v>
      </c>
      <c r="J46" s="252">
        <f>+I46/H46-1</f>
        <v>-2.0719127217736832E-2</v>
      </c>
      <c r="L46" s="162" t="s">
        <v>126</v>
      </c>
      <c r="M46" s="272">
        <v>1.7885999999999999E-2</v>
      </c>
      <c r="N46" s="289">
        <f>+Factores!J93</f>
        <v>1.7885999999999999E-2</v>
      </c>
      <c r="O46" s="289">
        <f t="shared" ref="O46:O54" si="4">+N46-M46</f>
        <v>0</v>
      </c>
    </row>
    <row r="47" spans="2:15">
      <c r="B47" s="250" t="s">
        <v>64</v>
      </c>
      <c r="C47" s="251">
        <v>115.96</v>
      </c>
      <c r="D47" s="251">
        <f>+D22</f>
        <v>113.45</v>
      </c>
      <c r="E47" s="252">
        <f t="shared" si="3"/>
        <v>-2.1645394963780484E-2</v>
      </c>
      <c r="G47" s="250" t="s">
        <v>93</v>
      </c>
      <c r="H47" s="253">
        <v>2172.0851153846152</v>
      </c>
      <c r="I47" s="251">
        <f>+I39</f>
        <v>2110.2591538461538</v>
      </c>
      <c r="J47" s="252">
        <f>+I47/H47-1</f>
        <v>-2.8463876070304761E-2</v>
      </c>
      <c r="L47" s="288" t="s">
        <v>127</v>
      </c>
      <c r="M47" s="272">
        <v>2.0843999999999998E-2</v>
      </c>
      <c r="N47" s="289">
        <f>+Factores!K93</f>
        <v>2.0843999999999998E-2</v>
      </c>
      <c r="O47" s="289">
        <f t="shared" si="4"/>
        <v>0</v>
      </c>
    </row>
    <row r="48" spans="2:15">
      <c r="B48" s="250" t="s">
        <v>336</v>
      </c>
      <c r="C48" s="251">
        <v>10.229999999999999</v>
      </c>
      <c r="D48" s="251">
        <f>+D25</f>
        <v>10.389999999999999</v>
      </c>
      <c r="E48" s="252">
        <f t="shared" si="3"/>
        <v>1.564027370478982E-2</v>
      </c>
      <c r="L48" s="288" t="s">
        <v>128</v>
      </c>
      <c r="M48" s="272">
        <v>2.2380000000000001E-2</v>
      </c>
      <c r="N48" s="289">
        <f>+Factores!L93</f>
        <v>2.2380000000000001E-2</v>
      </c>
      <c r="O48" s="289">
        <f t="shared" si="4"/>
        <v>0</v>
      </c>
    </row>
    <row r="49" spans="2:15">
      <c r="B49" s="250" t="s">
        <v>337</v>
      </c>
      <c r="C49" s="251">
        <v>9.5299999999999994</v>
      </c>
      <c r="D49" s="251">
        <f>+D26</f>
        <v>9.69</v>
      </c>
      <c r="E49" s="252">
        <f t="shared" si="3"/>
        <v>1.6789087093389332E-2</v>
      </c>
      <c r="L49" s="288" t="s">
        <v>129</v>
      </c>
      <c r="M49" s="272">
        <v>1.9289999999999998E-2</v>
      </c>
      <c r="N49" s="289">
        <f>+Factores!M93</f>
        <v>1.9289999999999998E-2</v>
      </c>
      <c r="O49" s="289">
        <f t="shared" si="4"/>
        <v>0</v>
      </c>
    </row>
    <row r="50" spans="2:15">
      <c r="B50" s="250" t="s">
        <v>338</v>
      </c>
      <c r="C50" s="251">
        <v>7.78</v>
      </c>
      <c r="D50" s="251">
        <f>+D27</f>
        <v>7.81</v>
      </c>
      <c r="E50" s="252">
        <f t="shared" si="3"/>
        <v>3.85604113110527E-3</v>
      </c>
      <c r="L50" s="288" t="s">
        <v>130</v>
      </c>
      <c r="M50" s="272">
        <v>8.4599999999999996E-4</v>
      </c>
      <c r="N50" s="289">
        <f>+Factores!N93</f>
        <v>8.4599999999999996E-4</v>
      </c>
      <c r="O50" s="289">
        <f t="shared" si="4"/>
        <v>0</v>
      </c>
    </row>
    <row r="51" spans="2:15">
      <c r="B51" s="250" t="s">
        <v>339</v>
      </c>
      <c r="C51" s="251">
        <v>10.92</v>
      </c>
      <c r="D51" s="251">
        <f>+D28</f>
        <v>10.89</v>
      </c>
      <c r="E51" s="252">
        <f t="shared" si="3"/>
        <v>-2.7472527472527375E-3</v>
      </c>
      <c r="K51" s="686" t="s">
        <v>197</v>
      </c>
      <c r="L51" s="288" t="s">
        <v>198</v>
      </c>
      <c r="M51" s="272">
        <v>4.3080000000000002E-3</v>
      </c>
      <c r="N51" s="289">
        <f>+Factores!O93</f>
        <v>4.3080000000000002E-3</v>
      </c>
      <c r="O51" s="289">
        <f t="shared" si="4"/>
        <v>0</v>
      </c>
    </row>
    <row r="52" spans="2:15">
      <c r="K52" s="687"/>
      <c r="L52" s="288" t="s">
        <v>195</v>
      </c>
      <c r="M52" s="272">
        <v>7.4399999999999996E-3</v>
      </c>
      <c r="N52" s="289">
        <f>+Factores!P93</f>
        <v>7.4399999999999996E-3</v>
      </c>
      <c r="O52" s="289">
        <f t="shared" si="4"/>
        <v>0</v>
      </c>
    </row>
    <row r="53" spans="2:15" ht="18">
      <c r="B53" s="688" t="s">
        <v>550</v>
      </c>
      <c r="C53" s="688"/>
      <c r="D53" s="688"/>
      <c r="E53" s="688"/>
      <c r="F53" s="688"/>
      <c r="G53" s="688"/>
      <c r="H53" s="688"/>
      <c r="I53" s="688"/>
      <c r="K53" s="686" t="s">
        <v>348</v>
      </c>
      <c r="L53" s="288" t="s">
        <v>198</v>
      </c>
      <c r="M53" s="272">
        <v>4.3080000000000002E-3</v>
      </c>
      <c r="N53" s="289">
        <f>+Factores!Q93</f>
        <v>4.3080000000000002E-3</v>
      </c>
      <c r="O53" s="289">
        <f t="shared" si="4"/>
        <v>0</v>
      </c>
    </row>
    <row r="54" spans="2:15">
      <c r="B54" s="257" t="s">
        <v>557</v>
      </c>
      <c r="C54" s="650"/>
      <c r="D54" s="650"/>
      <c r="E54" s="650"/>
      <c r="F54" s="650"/>
      <c r="G54" s="650"/>
      <c r="H54" s="650"/>
      <c r="I54" s="650"/>
      <c r="K54" s="687"/>
      <c r="L54" s="288" t="s">
        <v>195</v>
      </c>
      <c r="M54" s="272">
        <v>7.4399999999999996E-3</v>
      </c>
      <c r="N54" s="289">
        <f>+Factores!R93</f>
        <v>7.4399999999999996E-3</v>
      </c>
      <c r="O54" s="289">
        <f t="shared" si="4"/>
        <v>0</v>
      </c>
    </row>
    <row r="55" spans="2:15">
      <c r="B55" s="689" t="s">
        <v>5</v>
      </c>
      <c r="C55" s="689" t="s">
        <v>66</v>
      </c>
      <c r="D55" s="690" t="s">
        <v>551</v>
      </c>
      <c r="E55" s="690"/>
      <c r="F55" s="690" t="s">
        <v>551</v>
      </c>
      <c r="G55" s="690"/>
      <c r="H55" s="689" t="s">
        <v>552</v>
      </c>
      <c r="I55" s="689"/>
    </row>
    <row r="56" spans="2:15">
      <c r="B56" s="689"/>
      <c r="C56" s="689"/>
      <c r="D56" s="691">
        <f>C18</f>
        <v>41125</v>
      </c>
      <c r="E56" s="691"/>
      <c r="F56" s="691">
        <f>D18</f>
        <v>41156</v>
      </c>
      <c r="G56" s="691"/>
      <c r="H56" s="689"/>
      <c r="I56" s="689"/>
    </row>
    <row r="57" spans="2:15">
      <c r="B57" s="689"/>
      <c r="C57" s="689"/>
      <c r="D57" s="689" t="s">
        <v>446</v>
      </c>
      <c r="E57" s="689"/>
      <c r="F57" s="689" t="s">
        <v>446</v>
      </c>
      <c r="G57" s="689"/>
      <c r="H57" s="689"/>
      <c r="I57" s="689"/>
    </row>
    <row r="58" spans="2:15">
      <c r="B58" s="689"/>
      <c r="C58" s="689"/>
      <c r="D58" s="642" t="s">
        <v>350</v>
      </c>
      <c r="E58" s="642" t="s">
        <v>68</v>
      </c>
      <c r="F58" s="642" t="s">
        <v>350</v>
      </c>
      <c r="G58" s="642" t="s">
        <v>68</v>
      </c>
      <c r="H58" s="642" t="s">
        <v>350</v>
      </c>
      <c r="I58" s="642" t="s">
        <v>68</v>
      </c>
    </row>
    <row r="59" spans="2:15">
      <c r="B59" s="643" t="s">
        <v>33</v>
      </c>
      <c r="C59" s="643" t="s">
        <v>72</v>
      </c>
      <c r="D59" s="670">
        <v>9.11</v>
      </c>
      <c r="E59" s="645">
        <v>6.4399999999999995</v>
      </c>
      <c r="F59" s="670">
        <f>COMBUSTIBLES!I9</f>
        <v>9.7999999999999989</v>
      </c>
      <c r="G59" s="645">
        <f>COMBUSTIBLES!J9</f>
        <v>6.89</v>
      </c>
      <c r="H59" s="672">
        <f t="shared" ref="H59:I63" si="5">+F59/D59-1</f>
        <v>7.574094401756315E-2</v>
      </c>
      <c r="I59" s="647">
        <f t="shared" si="5"/>
        <v>6.9875776397515521E-2</v>
      </c>
      <c r="J59" s="254"/>
    </row>
    <row r="60" spans="2:15">
      <c r="B60" s="643" t="s">
        <v>39</v>
      </c>
      <c r="C60" s="643" t="s">
        <v>76</v>
      </c>
      <c r="D60" s="644">
        <v>10.229999999999999</v>
      </c>
      <c r="E60" s="671">
        <v>0</v>
      </c>
      <c r="F60" s="644">
        <f>COMBUSTIBLES!I10</f>
        <v>10.389999999999999</v>
      </c>
      <c r="G60" s="671">
        <f>COMBUSTIBLES!J10</f>
        <v>0</v>
      </c>
      <c r="H60" s="646">
        <f t="shared" si="5"/>
        <v>1.564027370478982E-2</v>
      </c>
      <c r="I60" s="673"/>
    </row>
    <row r="61" spans="2:15">
      <c r="B61" s="643" t="s">
        <v>36</v>
      </c>
      <c r="C61" s="643" t="s">
        <v>74</v>
      </c>
      <c r="D61" s="644">
        <v>9.5299999999999994</v>
      </c>
      <c r="E61" s="645">
        <v>7.78</v>
      </c>
      <c r="F61" s="644">
        <f>COMBUSTIBLES!I11</f>
        <v>9.69</v>
      </c>
      <c r="G61" s="645">
        <f>COMBUSTIBLES!J11</f>
        <v>7.81</v>
      </c>
      <c r="H61" s="646">
        <f t="shared" si="5"/>
        <v>1.6789087093389332E-2</v>
      </c>
      <c r="I61" s="647">
        <f>+G61/E61-1</f>
        <v>3.85604113110527E-3</v>
      </c>
    </row>
    <row r="62" spans="2:15">
      <c r="B62" s="643" t="s">
        <v>555</v>
      </c>
      <c r="C62" s="643" t="s">
        <v>76</v>
      </c>
      <c r="D62" s="648">
        <v>10.229999999999999</v>
      </c>
      <c r="E62" s="671">
        <v>0</v>
      </c>
      <c r="F62" s="648">
        <f>COMBUSTIBLES!I12</f>
        <v>10.389999999999999</v>
      </c>
      <c r="G62" s="671">
        <f>COMBUSTIBLES!J12</f>
        <v>0</v>
      </c>
      <c r="H62" s="649">
        <f t="shared" si="5"/>
        <v>1.564027370478982E-2</v>
      </c>
      <c r="I62" s="673"/>
    </row>
    <row r="63" spans="2:15">
      <c r="B63" s="643" t="s">
        <v>37</v>
      </c>
      <c r="C63" s="643" t="s">
        <v>77</v>
      </c>
      <c r="D63" s="644">
        <v>10.92</v>
      </c>
      <c r="E63" s="671">
        <v>0</v>
      </c>
      <c r="F63" s="644">
        <f>COMBUSTIBLES!I13</f>
        <v>10.89</v>
      </c>
      <c r="G63" s="671">
        <f>COMBUSTIBLES!J13</f>
        <v>0</v>
      </c>
      <c r="H63" s="646">
        <f t="shared" si="5"/>
        <v>-2.7472527472527375E-3</v>
      </c>
      <c r="I63" s="673"/>
    </row>
    <row r="64" spans="2:15">
      <c r="B64" s="454"/>
    </row>
    <row r="65" spans="2:9">
      <c r="B65" s="674" t="s">
        <v>579</v>
      </c>
      <c r="C65" s="669"/>
      <c r="D65" s="669"/>
      <c r="E65" s="669"/>
      <c r="F65" s="669"/>
      <c r="G65" s="669"/>
      <c r="H65" s="669"/>
      <c r="I65" s="669"/>
    </row>
    <row r="66" spans="2:9">
      <c r="B66" s="675" t="s">
        <v>573</v>
      </c>
      <c r="C66" s="669"/>
      <c r="D66" s="669"/>
      <c r="E66" s="669"/>
      <c r="F66" s="669"/>
      <c r="G66" s="669"/>
      <c r="H66" s="669"/>
      <c r="I66" s="669"/>
    </row>
    <row r="67" spans="2:9">
      <c r="B67" s="675" t="s">
        <v>574</v>
      </c>
      <c r="C67" s="669"/>
      <c r="D67" s="669"/>
      <c r="E67" s="669"/>
      <c r="F67" s="669"/>
      <c r="G67" s="669"/>
      <c r="H67" s="669"/>
      <c r="I67" s="669"/>
    </row>
    <row r="68" spans="2:9">
      <c r="B68" s="676" t="s">
        <v>575</v>
      </c>
      <c r="C68" s="669"/>
      <c r="D68" s="669"/>
      <c r="E68" s="669"/>
      <c r="F68" s="669"/>
      <c r="G68" s="669"/>
      <c r="H68" s="669"/>
      <c r="I68" s="669"/>
    </row>
    <row r="69" spans="2:9">
      <c r="B69" s="674" t="s">
        <v>572</v>
      </c>
      <c r="C69" s="669"/>
      <c r="D69" s="669"/>
      <c r="E69" s="669"/>
      <c r="F69" s="669"/>
      <c r="G69" s="669"/>
      <c r="H69" s="669"/>
      <c r="I69" s="669"/>
    </row>
    <row r="70" spans="2:9">
      <c r="B70" s="675" t="s">
        <v>576</v>
      </c>
      <c r="C70" s="669"/>
      <c r="D70" s="669"/>
      <c r="E70" s="669"/>
      <c r="F70" s="669"/>
      <c r="G70" s="669"/>
      <c r="H70" s="669"/>
      <c r="I70" s="669"/>
    </row>
    <row r="71" spans="2:9">
      <c r="B71" s="675" t="s">
        <v>577</v>
      </c>
      <c r="C71" s="669"/>
      <c r="D71" s="669"/>
      <c r="E71" s="669"/>
      <c r="F71" s="669"/>
      <c r="G71" s="669"/>
      <c r="H71" s="669"/>
      <c r="I71" s="669"/>
    </row>
    <row r="72" spans="2:9">
      <c r="B72" s="675" t="s">
        <v>578</v>
      </c>
      <c r="C72" s="669"/>
      <c r="D72" s="669"/>
      <c r="E72" s="669"/>
      <c r="F72" s="669"/>
      <c r="G72" s="669"/>
      <c r="H72" s="669"/>
      <c r="I72" s="669"/>
    </row>
    <row r="73" spans="2:9">
      <c r="B73" s="674" t="s">
        <v>585</v>
      </c>
    </row>
    <row r="74" spans="2:9">
      <c r="B74" s="675" t="s">
        <v>586</v>
      </c>
    </row>
    <row r="75" spans="2:9">
      <c r="B75" s="675" t="s">
        <v>587</v>
      </c>
    </row>
    <row r="76" spans="2:9">
      <c r="B76" s="677" t="s">
        <v>580</v>
      </c>
    </row>
    <row r="86" ht="12.75" customHeight="1"/>
    <row r="88" ht="12.75" customHeight="1"/>
  </sheetData>
  <mergeCells count="13">
    <mergeCell ref="C12:D12"/>
    <mergeCell ref="K53:K54"/>
    <mergeCell ref="K51:K52"/>
    <mergeCell ref="B53:I53"/>
    <mergeCell ref="B55:B58"/>
    <mergeCell ref="C55:C58"/>
    <mergeCell ref="D55:E55"/>
    <mergeCell ref="F55:G55"/>
    <mergeCell ref="H55:I57"/>
    <mergeCell ref="D56:E56"/>
    <mergeCell ref="F56:G56"/>
    <mergeCell ref="D57:E57"/>
    <mergeCell ref="F57:G57"/>
  </mergeCells>
  <phoneticPr fontId="15" type="noConversion"/>
  <conditionalFormatting sqref="C7:D7 C9:D10">
    <cfRule type="cellIs" dxfId="27" priority="15" operator="equal">
      <formula>-0.05</formula>
    </cfRule>
    <cfRule type="cellIs" dxfId="26" priority="16" operator="equal">
      <formula>0.05</formula>
    </cfRule>
    <cfRule type="cellIs" dxfId="25" priority="17" operator="notBetween">
      <formula>-0.05</formula>
      <formula>0.05</formula>
    </cfRule>
  </conditionalFormatting>
  <conditionalFormatting sqref="C11:D11">
    <cfRule type="cellIs" dxfId="24" priority="12" operator="equal">
      <formula>-0.015</formula>
    </cfRule>
    <cfRule type="cellIs" dxfId="23" priority="13" operator="equal">
      <formula>0.015</formula>
    </cfRule>
    <cfRule type="cellIs" dxfId="22" priority="14" operator="notBetween">
      <formula>-0.015</formula>
      <formula>0.015</formula>
    </cfRule>
  </conditionalFormatting>
  <conditionalFormatting sqref="C12">
    <cfRule type="cellIs" dxfId="21" priority="9" operator="equal">
      <formula>-0.01</formula>
    </cfRule>
    <cfRule type="cellIs" dxfId="20" priority="10" operator="equal">
      <formula>0.01</formula>
    </cfRule>
    <cfRule type="cellIs" dxfId="19" priority="11" operator="notBetween">
      <formula>-0.01</formula>
      <formula>0.01</formula>
    </cfRule>
  </conditionalFormatting>
  <conditionalFormatting sqref="C8:D8">
    <cfRule type="cellIs" dxfId="18" priority="4" operator="notBetween">
      <formula>-0.015</formula>
      <formula>0.015</formula>
    </cfRule>
    <cfRule type="cellIs" dxfId="17" priority="5" operator="equal">
      <formula>0.015</formula>
    </cfRule>
    <cfRule type="cellIs" dxfId="16" priority="6" operator="equal">
      <formula>-0.015</formula>
    </cfRule>
  </conditionalFormatting>
  <pageMargins left="0.42" right="0.39" top="0.47" bottom="0.44" header="0" footer="0"/>
  <pageSetup paperSize="9" scale="66" fitToHeight="2" orientation="landscape"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dimension ref="A1:BL143"/>
  <sheetViews>
    <sheetView showGridLines="0" zoomScale="85" zoomScaleNormal="85" zoomScaleSheetLayoutView="70" workbookViewId="0"/>
  </sheetViews>
  <sheetFormatPr baseColWidth="10" defaultColWidth="7.21875" defaultRowHeight="18"/>
  <cols>
    <col min="1" max="1" width="71.44140625" style="56" customWidth="1"/>
    <col min="2" max="2" width="13.6640625" style="16" customWidth="1"/>
    <col min="3" max="3" width="15.44140625" style="27" customWidth="1"/>
    <col min="4" max="4" width="14.21875" style="535" bestFit="1" customWidth="1"/>
    <col min="5" max="5" width="2.33203125" style="22" customWidth="1"/>
    <col min="6" max="6" width="18.33203125" style="422" customWidth="1"/>
    <col min="7" max="7" width="3.88671875" style="1" customWidth="1"/>
    <col min="8" max="8" width="22.33203125" style="1" customWidth="1"/>
    <col min="9" max="9" width="17" style="1" customWidth="1"/>
    <col min="10" max="10" width="11.6640625" style="1" customWidth="1"/>
    <col min="11" max="11" width="13.6640625" style="1" customWidth="1"/>
    <col min="12" max="12" width="15.33203125" style="1" customWidth="1"/>
    <col min="13" max="13" width="16.77734375" style="1" customWidth="1"/>
    <col min="14" max="14" width="13.33203125" style="1" customWidth="1"/>
    <col min="15" max="15" width="17.21875" style="1" customWidth="1"/>
    <col min="16" max="17" width="14" style="1" customWidth="1"/>
    <col min="18" max="18" width="11.33203125" style="1" customWidth="1"/>
    <col min="19" max="19" width="13.21875" style="1" customWidth="1"/>
    <col min="20" max="20" width="8" style="1" customWidth="1"/>
    <col min="21" max="21" width="7.109375" style="1" customWidth="1"/>
    <col min="22" max="22" width="9.21875" style="1" customWidth="1"/>
    <col min="23" max="27" width="7.109375" style="1" customWidth="1"/>
    <col min="28" max="28" width="7.109375" style="56" customWidth="1"/>
    <col min="29" max="29" width="2.5546875" style="1" customWidth="1"/>
    <col min="30" max="30" width="34.77734375" style="1" customWidth="1"/>
    <col min="31" max="31" width="16.5546875" style="1" customWidth="1"/>
    <col min="32" max="32" width="15.44140625" style="1" customWidth="1"/>
    <col min="33" max="33" width="8.21875" style="7" customWidth="1"/>
    <col min="34" max="34" width="11.44140625" style="7" customWidth="1"/>
    <col min="35" max="35" width="16.6640625" style="1" customWidth="1"/>
    <col min="36" max="36" width="14.77734375" style="1" customWidth="1"/>
    <col min="37" max="37" width="14.77734375" style="1" bestFit="1" customWidth="1"/>
    <col min="38" max="38" width="14.5546875" style="1" customWidth="1"/>
    <col min="39" max="39" width="23.33203125" style="1" customWidth="1"/>
    <col min="40" max="40" width="13.77734375" style="1" customWidth="1"/>
    <col min="41" max="42" width="11.33203125" style="1" customWidth="1"/>
    <col min="43" max="44" width="11" style="1" customWidth="1"/>
    <col min="45" max="62" width="7.21875" style="1"/>
    <col min="63" max="64" width="8.21875" style="1" bestFit="1" customWidth="1"/>
    <col min="65" max="16384" width="7.21875" style="1"/>
  </cols>
  <sheetData>
    <row r="1" spans="1:64" ht="26.25">
      <c r="A1" s="511" t="s">
        <v>469</v>
      </c>
      <c r="B1" s="512"/>
      <c r="C1" s="513"/>
      <c r="D1" s="536"/>
      <c r="E1" s="512"/>
      <c r="F1" s="510"/>
      <c r="G1" s="7"/>
      <c r="H1" s="507" t="s">
        <v>454</v>
      </c>
      <c r="I1" s="463"/>
      <c r="J1" s="463"/>
      <c r="K1" s="463"/>
      <c r="L1" s="463"/>
      <c r="M1" s="463"/>
      <c r="N1" s="463"/>
      <c r="O1" s="463"/>
      <c r="P1" s="463"/>
      <c r="Q1" s="463"/>
      <c r="R1" s="463"/>
      <c r="S1" s="463"/>
      <c r="T1" s="463"/>
      <c r="U1" s="463"/>
      <c r="V1" s="463"/>
      <c r="W1" s="463"/>
      <c r="X1" s="463"/>
      <c r="Y1" s="463"/>
      <c r="Z1" s="463"/>
      <c r="AA1" s="463"/>
      <c r="AB1" s="463"/>
      <c r="AD1" s="507" t="s">
        <v>454</v>
      </c>
      <c r="AE1" s="463"/>
      <c r="AF1" s="463"/>
      <c r="AG1" s="463"/>
      <c r="AH1" s="463"/>
      <c r="AI1" s="2"/>
      <c r="AJ1" s="2"/>
      <c r="AK1" s="463"/>
      <c r="AL1" s="463"/>
      <c r="AM1" s="463"/>
      <c r="AN1" s="463"/>
      <c r="AO1" s="463"/>
      <c r="AP1" s="463"/>
    </row>
    <row r="2" spans="1:64" ht="26.25">
      <c r="A2" s="566" t="str">
        <f>+CONCATENATE("Reajuste al ",TEXT(Historico!O3,"dd/mmmm/yyyy"))</f>
        <v>Reajuste al 04/septiembre/2012</v>
      </c>
      <c r="B2" s="543" t="s">
        <v>477</v>
      </c>
      <c r="C2" s="543" t="s">
        <v>476</v>
      </c>
      <c r="D2" s="544"/>
      <c r="E2" s="538"/>
      <c r="F2" s="565" t="s">
        <v>481</v>
      </c>
      <c r="G2" s="7"/>
      <c r="H2" s="462"/>
      <c r="I2" s="7"/>
      <c r="J2" s="7"/>
      <c r="K2" s="7"/>
      <c r="L2" s="7"/>
      <c r="M2" s="7"/>
      <c r="N2" s="7"/>
      <c r="O2" s="7"/>
      <c r="P2" s="7"/>
      <c r="Q2" s="7"/>
      <c r="R2" s="7"/>
      <c r="S2" s="7"/>
      <c r="T2" s="7"/>
      <c r="U2" s="7"/>
      <c r="V2" s="7"/>
      <c r="W2" s="7"/>
      <c r="X2" s="7"/>
      <c r="Y2" s="7"/>
      <c r="Z2" s="7"/>
      <c r="AA2" s="7"/>
      <c r="AB2" s="7"/>
      <c r="AD2" s="462"/>
      <c r="AE2" s="7"/>
      <c r="AF2" s="7"/>
      <c r="AK2" s="7"/>
      <c r="AL2" s="7"/>
      <c r="AM2" s="7"/>
      <c r="AN2" s="7"/>
      <c r="AO2" s="7"/>
      <c r="AP2" s="7"/>
    </row>
    <row r="3" spans="1:64" ht="26.25">
      <c r="A3" s="131" t="s">
        <v>9</v>
      </c>
      <c r="B3" s="100">
        <f>+Historico!N3</f>
        <v>41125</v>
      </c>
      <c r="C3" s="101">
        <f>+Historico!O3</f>
        <v>41156</v>
      </c>
      <c r="D3" s="132" t="s">
        <v>112</v>
      </c>
      <c r="F3" s="101">
        <f>+Historico!O3</f>
        <v>41156</v>
      </c>
      <c r="G3" s="7"/>
      <c r="H3" s="462"/>
      <c r="I3" s="7"/>
      <c r="J3" s="7"/>
      <c r="K3" s="7"/>
      <c r="L3" s="7"/>
      <c r="M3" s="7"/>
      <c r="N3" s="7"/>
      <c r="O3" s="7"/>
      <c r="P3" s="7"/>
      <c r="Q3" s="7"/>
      <c r="R3" s="7"/>
      <c r="S3" s="7"/>
      <c r="T3" s="7"/>
      <c r="U3" s="7"/>
      <c r="V3" s="7"/>
      <c r="W3" s="7"/>
      <c r="X3" s="7"/>
      <c r="Y3" s="7"/>
      <c r="Z3" s="7"/>
      <c r="AA3" s="7"/>
      <c r="AB3" s="7"/>
      <c r="AD3" s="462"/>
      <c r="AE3" s="7"/>
      <c r="AF3" s="7"/>
      <c r="AK3" s="7"/>
      <c r="AL3" s="7"/>
      <c r="AM3" s="7"/>
      <c r="AN3" s="7"/>
      <c r="AO3" s="7"/>
      <c r="AP3" s="7"/>
      <c r="BK3" s="683"/>
      <c r="BL3" s="683"/>
    </row>
    <row r="4" spans="1:64" ht="26.25">
      <c r="A4" s="133" t="s">
        <v>539</v>
      </c>
      <c r="B4" s="95" t="str">
        <f>+Historico!N4</f>
        <v/>
      </c>
      <c r="C4" s="82"/>
      <c r="D4" s="537"/>
      <c r="F4" s="82" t="str">
        <f>IF(IF(ResumenIndicadores!$F$7="Ft-1",Factores!B4,Factores!C4)=0,"",IF(ResumenIndicadores!$F$7="Ft-1",Factores!B4,Factores!C4))</f>
        <v/>
      </c>
      <c r="G4" s="7"/>
      <c r="H4" s="525" t="s">
        <v>448</v>
      </c>
      <c r="P4" s="7"/>
      <c r="R4" s="7"/>
      <c r="S4" s="516" t="s">
        <v>491</v>
      </c>
      <c r="T4" s="514"/>
      <c r="U4" s="514"/>
      <c r="V4" s="515"/>
      <c r="W4" s="514"/>
      <c r="X4" s="514"/>
      <c r="Y4" s="514"/>
      <c r="Z4" s="514"/>
      <c r="AA4" s="514"/>
      <c r="AB4" s="7"/>
      <c r="AD4" s="525" t="s">
        <v>450</v>
      </c>
      <c r="AE4" s="7"/>
      <c r="AF4" s="7"/>
      <c r="AJ4" s="463"/>
      <c r="AK4" s="463"/>
      <c r="AL4" s="463"/>
      <c r="AM4" s="463"/>
      <c r="AN4" s="463"/>
      <c r="AO4" s="463"/>
      <c r="AP4" s="463"/>
      <c r="BK4" s="683"/>
      <c r="BL4" s="683"/>
    </row>
    <row r="5" spans="1:64">
      <c r="A5" s="134" t="s">
        <v>31</v>
      </c>
      <c r="B5" s="96" t="str">
        <f>+Historico!N5</f>
        <v/>
      </c>
      <c r="C5" s="98"/>
      <c r="D5" s="136"/>
      <c r="F5" s="98" t="str">
        <f>IF(IF(ResumenIndicadores!$F$7="Ft-1",Factores!B5,Factores!C5)=0,"",IF(ResumenIndicadores!$F$7="Ft-1",Factores!B5,Factores!C5))</f>
        <v/>
      </c>
      <c r="G5" s="26"/>
      <c r="H5" s="7" t="s">
        <v>488</v>
      </c>
      <c r="I5" s="7"/>
      <c r="J5" s="4"/>
      <c r="K5" s="7"/>
      <c r="L5" s="7"/>
      <c r="R5" s="7"/>
      <c r="S5" s="14" t="s">
        <v>5</v>
      </c>
      <c r="T5" s="14" t="s">
        <v>2</v>
      </c>
      <c r="U5" s="14" t="s">
        <v>3</v>
      </c>
      <c r="V5" s="14" t="s">
        <v>86</v>
      </c>
      <c r="W5" s="14" t="s">
        <v>87</v>
      </c>
      <c r="X5" s="14" t="s">
        <v>88</v>
      </c>
      <c r="Y5" s="14" t="s">
        <v>89</v>
      </c>
      <c r="Z5" s="14" t="s">
        <v>90</v>
      </c>
      <c r="AA5" s="14" t="s">
        <v>91</v>
      </c>
      <c r="AB5" s="7"/>
      <c r="AD5" s="7"/>
      <c r="AE5" s="7"/>
      <c r="AF5" s="7"/>
      <c r="AG5" s="104"/>
      <c r="AI5" s="464"/>
      <c r="AJ5" s="463"/>
      <c r="AK5" s="463"/>
      <c r="AL5" s="463"/>
      <c r="AM5" s="465"/>
      <c r="AN5" s="465"/>
      <c r="AO5" s="465"/>
      <c r="AP5" s="465"/>
      <c r="BK5" s="683"/>
      <c r="BL5" s="683"/>
    </row>
    <row r="6" spans="1:64">
      <c r="A6" s="135" t="s">
        <v>41</v>
      </c>
      <c r="B6" s="93">
        <f>+Historico!N6</f>
        <v>0.99260000000000004</v>
      </c>
      <c r="C6" s="99">
        <f>+ROUND(HLOOKUP("a",Cuadro_4y5,2,FALSE)*FTCg+HLOOKUP("b",Cuadro_4y5,2,FALSE)*FPMg,4)</f>
        <v>0.98129999999999995</v>
      </c>
      <c r="D6" s="539">
        <f>+C6/B6-1</f>
        <v>-1.1384243401168725E-2</v>
      </c>
      <c r="F6" s="99">
        <f>IF(AND(DAY(F3)=1,MONTH(F3)=5),C6,IF(IF(ResumenIndicadores!$F$7="Ft-1",Factores!B6,Factores!C6)=0,"",IF(ResumenIndicadores!$F$7="Ft-1",Factores!B6,Factores!C6)))</f>
        <v>0.99260000000000004</v>
      </c>
      <c r="G6" s="26"/>
      <c r="H6" s="20" t="s">
        <v>65</v>
      </c>
      <c r="I6" s="37"/>
      <c r="J6" s="20"/>
      <c r="K6" s="7"/>
      <c r="L6" s="7"/>
      <c r="M6" s="13"/>
      <c r="R6" s="7"/>
      <c r="S6" s="33" t="s">
        <v>33</v>
      </c>
      <c r="T6" s="287">
        <v>0.76359999999999995</v>
      </c>
      <c r="U6" s="287">
        <v>0.2364</v>
      </c>
      <c r="V6" s="287">
        <v>0.1183</v>
      </c>
      <c r="W6" s="287"/>
      <c r="X6" s="287">
        <v>2.5600000000000001E-2</v>
      </c>
      <c r="Y6" s="287">
        <v>0.85440000000000005</v>
      </c>
      <c r="Z6" s="287"/>
      <c r="AA6" s="335">
        <v>1.6999999999999999E-3</v>
      </c>
      <c r="AB6" s="7"/>
      <c r="AC6" s="116"/>
      <c r="AD6" s="13" t="s">
        <v>15</v>
      </c>
      <c r="AG6" s="104"/>
      <c r="AK6" s="3"/>
      <c r="AL6" s="3"/>
      <c r="AM6" s="31"/>
      <c r="AN6" s="31"/>
      <c r="AO6" s="31"/>
      <c r="AP6" s="31"/>
      <c r="BK6" s="683"/>
      <c r="BL6" s="683"/>
    </row>
    <row r="7" spans="1:64">
      <c r="A7" s="134" t="s">
        <v>32</v>
      </c>
      <c r="B7" s="97" t="str">
        <f>+Historico!N7</f>
        <v/>
      </c>
      <c r="C7" s="99"/>
      <c r="D7" s="539"/>
      <c r="F7" s="99" t="str">
        <f>IF(IF(ResumenIndicadores!$F$7="Ft-1",Factores!B7,Factores!C7)=0,"",IF(ResumenIndicadores!$F$7="Ft-1",Factores!B7,Factores!C7))</f>
        <v/>
      </c>
      <c r="G7" s="26"/>
      <c r="H7" s="66" t="s">
        <v>5</v>
      </c>
      <c r="I7" s="66" t="s">
        <v>66</v>
      </c>
      <c r="J7" s="66" t="s">
        <v>67</v>
      </c>
      <c r="K7" s="66" t="s">
        <v>68</v>
      </c>
      <c r="L7" s="66" t="s">
        <v>69</v>
      </c>
      <c r="M7" s="66" t="s">
        <v>70</v>
      </c>
      <c r="N7" s="66" t="s">
        <v>71</v>
      </c>
      <c r="R7" s="45"/>
      <c r="S7" s="33" t="s">
        <v>34</v>
      </c>
      <c r="T7" s="15"/>
      <c r="U7" s="15"/>
      <c r="V7" s="287">
        <v>0.16059999999999999</v>
      </c>
      <c r="W7" s="287"/>
      <c r="X7" s="287"/>
      <c r="Y7" s="287"/>
      <c r="Z7" s="287">
        <v>0.83940000000000003</v>
      </c>
      <c r="AA7" s="46"/>
      <c r="AB7" s="7"/>
      <c r="AC7" s="116"/>
      <c r="AD7" s="1" t="s">
        <v>51</v>
      </c>
      <c r="AG7" s="104"/>
      <c r="AI7" s="336" t="s">
        <v>490</v>
      </c>
      <c r="AJ7" s="409"/>
      <c r="AK7" s="409"/>
      <c r="BK7" s="683"/>
      <c r="BL7" s="683"/>
    </row>
    <row r="8" spans="1:64">
      <c r="A8" s="137" t="s">
        <v>33</v>
      </c>
      <c r="B8" s="93">
        <f>+Historico!N8</f>
        <v>0.98699999999999999</v>
      </c>
      <c r="C8" s="99">
        <f>+ROUND(HLOOKUP("d",Cuadro_4y5,2,FALSE)*FTCg+HLOOKUP("e",Cuadro_4y5,2,FALSE)*FD2SEIN+HLOOKUP("f",Cuadro_4y5,2,FALSE)*FR6SEIN+HLOOKUP("g",Cuadro_4y5,2,FALSE)*FPGN+HLOOKUP("s",Cuadro_4y5,2,FALSE)*FPMg+HLOOKUP("cb",Cuadro_4y5,2,FALSE)*FCB,4)</f>
        <v>0.99060000000000004</v>
      </c>
      <c r="D8" s="539">
        <f t="shared" ref="D8:D18" si="0">+C8/B8-1</f>
        <v>3.6474164133739606E-3</v>
      </c>
      <c r="F8" s="99">
        <f>IF(AND(DAY(F3)=1,MONTH(F3)=5),C6,IF(IF(ResumenIndicadores!$F$7="Ft-1",Factores!B8,Factores!C8)=0,"",IF(ResumenIndicadores!$F$7="Ft-1",Factores!B8,Factores!C8)))</f>
        <v>0.98699999999999999</v>
      </c>
      <c r="G8" s="26"/>
      <c r="H8" s="15" t="s">
        <v>33</v>
      </c>
      <c r="I8" s="15" t="s">
        <v>72</v>
      </c>
      <c r="J8" s="592">
        <v>9.3699999999999992</v>
      </c>
      <c r="K8" s="592">
        <v>7.57</v>
      </c>
      <c r="L8" s="592">
        <v>125.89</v>
      </c>
      <c r="M8" s="591">
        <v>1.2</v>
      </c>
      <c r="N8" s="591">
        <v>0.39</v>
      </c>
      <c r="R8" s="45"/>
      <c r="S8" s="86" t="s">
        <v>35</v>
      </c>
      <c r="T8" s="15"/>
      <c r="U8" s="15"/>
      <c r="V8" s="287">
        <v>0.16059999999999999</v>
      </c>
      <c r="W8" s="287"/>
      <c r="X8" s="287"/>
      <c r="Y8" s="287"/>
      <c r="Z8" s="287">
        <v>0.83940000000000003</v>
      </c>
      <c r="AA8" s="46"/>
      <c r="AB8" s="7"/>
      <c r="AC8" s="116"/>
      <c r="AD8" s="15" t="s">
        <v>52</v>
      </c>
      <c r="AE8" s="25">
        <f>+AK10/AK9</f>
        <v>0.99113368588670459</v>
      </c>
      <c r="AG8" s="104"/>
      <c r="AI8" s="4"/>
      <c r="AJ8" s="62" t="s">
        <v>10</v>
      </c>
      <c r="AK8" s="74" t="s">
        <v>0</v>
      </c>
      <c r="AL8" s="77" t="s">
        <v>11</v>
      </c>
      <c r="AM8" s="74" t="s">
        <v>63</v>
      </c>
      <c r="AN8" s="79" t="s">
        <v>64</v>
      </c>
      <c r="AO8" s="5"/>
      <c r="AP8" s="5"/>
      <c r="BK8" s="683"/>
      <c r="BL8" s="683"/>
    </row>
    <row r="9" spans="1:64">
      <c r="A9" s="138" t="s">
        <v>34</v>
      </c>
      <c r="B9" s="93">
        <f>+Historico!N9</f>
        <v>0.99780000000000002</v>
      </c>
      <c r="C9" s="99">
        <f>ROUND(V7*FTCg+W7*FD2G3+X7*FR6G3+Y7*FPGN+Z7*FPMg+AA7*FCB,4)</f>
        <v>0.98909999999999998</v>
      </c>
      <c r="D9" s="539">
        <f t="shared" si="0"/>
        <v>-8.7191822008418907E-3</v>
      </c>
      <c r="F9" s="99">
        <f>IF(AND(DAY(F3)=1,MONTH(F3)=5),C6,IF(IF(ResumenIndicadores!$F$8="Ft-1",Factores!B9,Factores!C9)=0,"",IF(ResumenIndicadores!$F$8="Ft-1",Factores!B9,Factores!C9)))</f>
        <v>0.98909999999999998</v>
      </c>
      <c r="G9" s="26"/>
      <c r="H9" s="64" t="s">
        <v>39</v>
      </c>
      <c r="I9" s="15" t="s">
        <v>76</v>
      </c>
      <c r="J9" s="591">
        <v>9.0299999999999994</v>
      </c>
      <c r="K9" s="591"/>
      <c r="L9" s="591"/>
      <c r="M9" s="591">
        <v>1.2</v>
      </c>
      <c r="N9" s="591"/>
      <c r="R9" s="45"/>
      <c r="S9" s="86" t="s">
        <v>12</v>
      </c>
      <c r="T9" s="15"/>
      <c r="U9" s="15"/>
      <c r="V9" s="287">
        <v>0.16059999999999999</v>
      </c>
      <c r="W9" s="287"/>
      <c r="X9" s="287"/>
      <c r="Y9" s="287"/>
      <c r="Z9" s="287">
        <v>0.83940000000000003</v>
      </c>
      <c r="AA9" s="46"/>
      <c r="AB9" s="7"/>
      <c r="AC9" s="116"/>
      <c r="AD9" s="29" t="s">
        <v>53</v>
      </c>
      <c r="AE9" s="25">
        <f>+AL10/AL9</f>
        <v>0.97826086956521729</v>
      </c>
      <c r="AG9" s="104"/>
      <c r="AI9" s="71" t="s">
        <v>1</v>
      </c>
      <c r="AJ9" s="180" t="s">
        <v>222</v>
      </c>
      <c r="AK9" s="75">
        <v>209.909211</v>
      </c>
      <c r="AL9" s="78">
        <v>2.6680000000000001</v>
      </c>
      <c r="AM9" s="82">
        <v>6.5282</v>
      </c>
      <c r="AN9" s="80">
        <v>125.89</v>
      </c>
      <c r="AO9" s="459"/>
      <c r="AP9" s="459"/>
      <c r="BK9" s="683"/>
      <c r="BL9" s="683"/>
    </row>
    <row r="10" spans="1:64">
      <c r="A10" s="138" t="s">
        <v>35</v>
      </c>
      <c r="B10" s="93">
        <f>+Historico!N10</f>
        <v>0.99780000000000002</v>
      </c>
      <c r="C10" s="99">
        <f>ROUND(V8*FTCg+W8*FD2G3+X8*FR6G3+Y8*FPGN+Z8*FPMg+AA8*FCB,4)</f>
        <v>0.98909999999999998</v>
      </c>
      <c r="D10" s="539">
        <f t="shared" si="0"/>
        <v>-8.7191822008418907E-3</v>
      </c>
      <c r="F10" s="99">
        <f>IF(AND(DAY(F3)=1,MONTH(F3)=5),C6,IF(IF(ResumenIndicadores!$F$8="Ft-1",Factores!B10,Factores!C10)=0,"",IF(ResumenIndicadores!$F$8="Ft-1",Factores!B10,Factores!C10)))</f>
        <v>0.98909999999999998</v>
      </c>
      <c r="G10" s="26"/>
      <c r="H10" s="64" t="s">
        <v>36</v>
      </c>
      <c r="I10" s="15" t="s">
        <v>74</v>
      </c>
      <c r="J10" s="591">
        <v>9.5299999999999994</v>
      </c>
      <c r="K10" s="591">
        <v>7.8</v>
      </c>
      <c r="L10" s="591"/>
      <c r="M10" s="591">
        <v>0</v>
      </c>
      <c r="N10" s="591">
        <v>0</v>
      </c>
      <c r="S10" s="33" t="s">
        <v>562</v>
      </c>
      <c r="T10" s="15"/>
      <c r="U10" s="15"/>
      <c r="V10" s="660">
        <f t="shared" ref="V10:Z10" si="1">V7</f>
        <v>0.16059999999999999</v>
      </c>
      <c r="W10" s="660"/>
      <c r="X10" s="660"/>
      <c r="Y10" s="660"/>
      <c r="Z10" s="660">
        <f t="shared" si="1"/>
        <v>0.83940000000000003</v>
      </c>
      <c r="AA10" s="46"/>
      <c r="AB10" s="56" t="s">
        <v>563</v>
      </c>
      <c r="AC10" s="206"/>
      <c r="AD10" s="15" t="s">
        <v>54</v>
      </c>
      <c r="AE10" s="25">
        <f>+AM10/AM9</f>
        <v>0.99629300572899104</v>
      </c>
      <c r="AG10" s="104"/>
      <c r="AI10" s="72" t="s">
        <v>4</v>
      </c>
      <c r="AJ10" s="606">
        <f>+COMBUSTIBLES!N7</f>
        <v>41152</v>
      </c>
      <c r="AK10" s="76">
        <f>+'IPM-TC-COBRE-ALUMINIO'!G6</f>
        <v>208.04809</v>
      </c>
      <c r="AL10" s="115">
        <f>+'IPM-TC-COBRE-ALUMINIO'!F6</f>
        <v>2.61</v>
      </c>
      <c r="AM10" s="115">
        <f>+COMBUSTIBLES!R9</f>
        <v>6.5039999999999996</v>
      </c>
      <c r="AN10" s="406">
        <f>+COMBUSTIBLES!P9</f>
        <v>113.45</v>
      </c>
      <c r="AO10" s="459"/>
      <c r="AP10" s="459"/>
      <c r="BK10" s="683"/>
      <c r="BL10" s="683"/>
    </row>
    <row r="11" spans="1:64">
      <c r="A11" s="138" t="s">
        <v>12</v>
      </c>
      <c r="B11" s="93">
        <f>+Historico!N11</f>
        <v>0.99780000000000002</v>
      </c>
      <c r="C11" s="99">
        <f>ROUND(V9*FTCg+W9*FD2G3+X9*FR6G3+Y9*FPGN+Z9*FPMg+AA9*FCB,4)</f>
        <v>0.98909999999999998</v>
      </c>
      <c r="D11" s="539">
        <f t="shared" ref="D11:D12" si="2">+C11/B11-1</f>
        <v>-8.7191822008418907E-3</v>
      </c>
      <c r="F11" s="99">
        <f>IF(AND(DAY(F3)=1,MONTH(F3)=5),C6,IF(IF(ResumenIndicadores!$F$8="Ft-1",Factores!B11,Factores!C11)=0,"",IF(ResumenIndicadores!$F$8="Ft-1",Factores!B11,Factores!C11)))</f>
        <v>0.98909999999999998</v>
      </c>
      <c r="G11" s="26"/>
      <c r="H11" s="64" t="s">
        <v>370</v>
      </c>
      <c r="I11" s="15" t="s">
        <v>76</v>
      </c>
      <c r="J11" s="591">
        <v>9.0299999999999994</v>
      </c>
      <c r="K11" s="591"/>
      <c r="L11" s="591"/>
      <c r="M11" s="591">
        <v>1.2</v>
      </c>
      <c r="N11" s="591"/>
      <c r="R11" s="45" t="s">
        <v>84</v>
      </c>
      <c r="S11" s="86" t="s">
        <v>36</v>
      </c>
      <c r="T11" s="15"/>
      <c r="U11" s="15"/>
      <c r="V11" s="287">
        <v>9.0300000000000005E-2</v>
      </c>
      <c r="W11" s="287">
        <v>5.2999999999999999E-2</v>
      </c>
      <c r="X11" s="287">
        <v>0.78310000000000002</v>
      </c>
      <c r="Y11" s="287"/>
      <c r="Z11" s="287">
        <v>7.3599999999999999E-2</v>
      </c>
      <c r="AA11" s="46"/>
      <c r="AB11" s="7"/>
      <c r="AC11" s="206"/>
      <c r="AD11" s="15" t="s">
        <v>55</v>
      </c>
      <c r="AE11" s="25">
        <f>+AN10/AN9*FTCg</f>
        <v>0.88159262572224883</v>
      </c>
      <c r="AI11" s="4"/>
      <c r="AJ11" s="83" t="s">
        <v>8</v>
      </c>
      <c r="AK11" s="60">
        <f>AK10/AK9-1</f>
        <v>-8.8663141132954149E-3</v>
      </c>
      <c r="AL11" s="61">
        <f>AL10/AL9-1</f>
        <v>-2.1739130434782705E-2</v>
      </c>
      <c r="AM11" s="60">
        <f>AM10/AM9-1</f>
        <v>-3.7069942710089565E-3</v>
      </c>
      <c r="AN11" s="81">
        <f>AN10/AN9-1</f>
        <v>-9.8816427039478905E-2</v>
      </c>
      <c r="AO11" s="12"/>
      <c r="AP11" s="12"/>
      <c r="BK11" s="683"/>
      <c r="BL11" s="683"/>
    </row>
    <row r="12" spans="1:64">
      <c r="A12" s="137" t="s">
        <v>562</v>
      </c>
      <c r="B12" s="93">
        <f>+Historico!N12</f>
        <v>0.99780000000000002</v>
      </c>
      <c r="C12" s="99">
        <f>ROUND(V10*FTCg+W10*FD2G3+X10*FR6G3+Y10*FPGN+Z10*FPMg+AA10*FCB,4)</f>
        <v>0.98909999999999998</v>
      </c>
      <c r="D12" s="539">
        <f t="shared" si="2"/>
        <v>-8.7191822008418907E-3</v>
      </c>
      <c r="F12" s="99">
        <f>IF(AND(DAY(F3)=1,MONTH(F3)=5),C6,IF(IF(ResumenIndicadores!$F$8="Ft-1",Factores!B12,Factores!C12)=0,"",IF(ResumenIndicadores!$F$8="Ft-1",Factores!B12,Factores!C12)))</f>
        <v>0.98909999999999998</v>
      </c>
      <c r="G12" s="26"/>
      <c r="H12" s="15" t="s">
        <v>37</v>
      </c>
      <c r="I12" s="15" t="s">
        <v>77</v>
      </c>
      <c r="J12" s="591">
        <v>9.4700000000000006</v>
      </c>
      <c r="K12" s="591"/>
      <c r="L12" s="591"/>
      <c r="M12" s="591">
        <v>1.2</v>
      </c>
      <c r="N12" s="591"/>
      <c r="R12" s="47" t="s">
        <v>85</v>
      </c>
      <c r="S12" s="86" t="s">
        <v>37</v>
      </c>
      <c r="T12" s="15"/>
      <c r="U12" s="15"/>
      <c r="V12" s="287">
        <v>1.18E-2</v>
      </c>
      <c r="W12" s="287">
        <v>0.92920000000000003</v>
      </c>
      <c r="X12" s="287"/>
      <c r="Y12" s="287"/>
      <c r="Z12" s="287">
        <v>5.8999999999999997E-2</v>
      </c>
      <c r="AA12" s="46"/>
      <c r="AB12" s="7"/>
      <c r="AC12" s="206"/>
      <c r="AD12" s="29" t="s">
        <v>56</v>
      </c>
      <c r="AE12" s="25">
        <f>+(N18+P18)/(J8+M8)</f>
        <v>0.92715231788079477</v>
      </c>
      <c r="AJ12" s="168"/>
      <c r="AK12" s="168"/>
      <c r="AL12" s="168"/>
      <c r="BK12" s="683"/>
      <c r="BL12" s="683"/>
    </row>
    <row r="13" spans="1:64">
      <c r="A13" s="138" t="s">
        <v>36</v>
      </c>
      <c r="B13" s="93">
        <f>+Historico!N13</f>
        <v>0.99790000000000001</v>
      </c>
      <c r="C13" s="99">
        <f>ROUND(V11*FTCg+W11*FD2G2+X11*FR6G2+Y11*FPGN+Z11*FPMg+AA11*FCB,4)</f>
        <v>0.99929999999999997</v>
      </c>
      <c r="D13" s="539">
        <f t="shared" si="0"/>
        <v>1.4029461869926596E-3</v>
      </c>
      <c r="F13" s="99">
        <f>IF(AND(DAY(F3)=1,MONTH(F3)=5),C6,IF(IF(ResumenIndicadores!$F$8="Ft-1",Factores!B13,Factores!C13)=0,"",IF(ResumenIndicadores!$F$8="Ft-1",Factores!B13,Factores!C13)))</f>
        <v>0.99929999999999997</v>
      </c>
      <c r="G13" s="26"/>
      <c r="H13" s="7"/>
      <c r="I13" s="39"/>
      <c r="J13"/>
      <c r="K13"/>
      <c r="L13" s="40"/>
      <c r="M13" s="40"/>
      <c r="R13" s="48"/>
      <c r="S13" s="86" t="s">
        <v>38</v>
      </c>
      <c r="T13" s="15"/>
      <c r="U13" s="15"/>
      <c r="V13" s="287">
        <v>0.16059999999999999</v>
      </c>
      <c r="W13" s="287"/>
      <c r="X13" s="287"/>
      <c r="Y13" s="287"/>
      <c r="Z13" s="287">
        <v>0.83940000000000003</v>
      </c>
      <c r="AA13" s="46"/>
      <c r="AB13" s="7"/>
      <c r="AC13" s="206"/>
      <c r="AD13" s="29" t="s">
        <v>57</v>
      </c>
      <c r="AE13" s="25">
        <f>+(O18+Q18)/(K8+N8)</f>
        <v>0.86557788944723613</v>
      </c>
      <c r="AF13" s="170"/>
      <c r="BK13" s="683"/>
      <c r="BL13" s="683"/>
    </row>
    <row r="14" spans="1:64">
      <c r="A14" s="138" t="s">
        <v>37</v>
      </c>
      <c r="B14" s="93">
        <f>+Historico!N14</f>
        <v>0.99980000000000002</v>
      </c>
      <c r="C14" s="99">
        <f>ROUND(V12*FTCg+W12*FD2G4+X12*FR6G4+Y12*FPGN+Z12*FPMg+AA12*FCB,4)</f>
        <v>1.0184</v>
      </c>
      <c r="D14" s="539">
        <f t="shared" si="0"/>
        <v>1.8603720744148733E-2</v>
      </c>
      <c r="F14" s="99">
        <f>IF(AND(DAY(F3)=1,MONTH(F3)=5),C6,IF(IF(ResumenIndicadores!$F$8="Ft-1",Factores!B14,Factores!C14)=0,"",IF(ResumenIndicadores!$F$8="Ft-1",Factores!B14,Factores!C14)))</f>
        <v>1.0184</v>
      </c>
      <c r="G14" s="26"/>
      <c r="H14" s="7"/>
      <c r="I14" s="39"/>
      <c r="J14" s="39"/>
      <c r="K14" s="7"/>
      <c r="L14" s="40"/>
      <c r="M14" s="40"/>
      <c r="R14" s="48"/>
      <c r="S14" s="86" t="s">
        <v>14</v>
      </c>
      <c r="T14" s="15"/>
      <c r="U14" s="15"/>
      <c r="V14" s="287">
        <v>0.16059999999999999</v>
      </c>
      <c r="W14" s="287"/>
      <c r="X14" s="287"/>
      <c r="Y14" s="287"/>
      <c r="Z14" s="287">
        <v>0.83940000000000003</v>
      </c>
      <c r="AA14" s="46"/>
      <c r="AB14" s="7"/>
      <c r="AC14" s="206"/>
      <c r="AE14" s="593"/>
      <c r="AF14" s="170"/>
      <c r="AH14" s="45" t="s">
        <v>83</v>
      </c>
      <c r="AI14" s="1" t="s">
        <v>39</v>
      </c>
      <c r="AK14" s="13" t="s">
        <v>489</v>
      </c>
      <c r="AL14" s="171"/>
      <c r="BK14" s="683"/>
      <c r="BL14" s="683"/>
    </row>
    <row r="15" spans="1:64">
      <c r="A15" s="138" t="s">
        <v>38</v>
      </c>
      <c r="B15" s="93">
        <f>+Historico!N15</f>
        <v>0.99780000000000002</v>
      </c>
      <c r="C15" s="99">
        <f>ROUND(V13*FTCg+W13*FD2G3+X13*FR6G3+Y13*FPGN+Z13*FPMg+AA13*FCB,4)</f>
        <v>0.98909999999999998</v>
      </c>
      <c r="D15" s="539">
        <f t="shared" si="0"/>
        <v>-8.7191822008418907E-3</v>
      </c>
      <c r="F15" s="99">
        <f>IF(AND(DAY(F3)=1,MONTH(F3)=5),C6,IF(IF(ResumenIndicadores!$F$8="Ft-1",Factores!B15,Factores!C15)=0,"",IF(ResumenIndicadores!$F$8="Ft-1",Factores!B15,Factores!C15)))</f>
        <v>0.98909999999999998</v>
      </c>
      <c r="G15" s="26"/>
      <c r="H15" s="68"/>
      <c r="I15" s="69"/>
      <c r="J15" s="694" t="s">
        <v>113</v>
      </c>
      <c r="K15" s="695"/>
      <c r="L15" s="696" t="s">
        <v>114</v>
      </c>
      <c r="M15" s="696"/>
      <c r="N15" s="697" t="s">
        <v>78</v>
      </c>
      <c r="O15" s="698"/>
      <c r="P15" s="701" t="s">
        <v>79</v>
      </c>
      <c r="Q15" s="698"/>
      <c r="R15" s="48" t="s">
        <v>83</v>
      </c>
      <c r="S15" s="86" t="s">
        <v>39</v>
      </c>
      <c r="T15" s="15"/>
      <c r="U15" s="15"/>
      <c r="V15" s="287">
        <v>0.1502</v>
      </c>
      <c r="W15" s="287">
        <v>6.9000000000000006E-2</v>
      </c>
      <c r="X15" s="287"/>
      <c r="Y15" s="287"/>
      <c r="Z15" s="287">
        <v>0.78080000000000005</v>
      </c>
      <c r="AA15" s="46"/>
      <c r="AB15" s="7"/>
      <c r="AC15" s="206"/>
      <c r="AD15" s="1" t="s">
        <v>58</v>
      </c>
      <c r="AF15" s="170"/>
      <c r="AH15" s="45" t="s">
        <v>84</v>
      </c>
      <c r="AI15" s="1" t="s">
        <v>73</v>
      </c>
      <c r="BK15" s="683"/>
      <c r="BL15" s="683"/>
    </row>
    <row r="16" spans="1:64">
      <c r="A16" s="138" t="s">
        <v>14</v>
      </c>
      <c r="B16" s="93">
        <f>+Historico!N16</f>
        <v>0.99780000000000002</v>
      </c>
      <c r="C16" s="99">
        <f>ROUND(V14*FTCg+W14*FD2G3+X14*FR6G3+Y14*FPGN+Z14*FPMg+AA14*FCB,4)</f>
        <v>0.98909999999999998</v>
      </c>
      <c r="D16" s="539">
        <f t="shared" si="0"/>
        <v>-8.7191822008418907E-3</v>
      </c>
      <c r="F16" s="99">
        <f>IF(AND(DAY(F3)=1,MONTH(F3)=5),C6,IF(IF(ResumenIndicadores!$F$8="Ft-1",Factores!B16,Factores!C16)=0,"",IF(ResumenIndicadores!$F$8="Ft-1",Factores!B16,Factores!C16)))</f>
        <v>0.98909999999999998</v>
      </c>
      <c r="G16" s="26"/>
      <c r="H16" s="70" t="s">
        <v>80</v>
      </c>
      <c r="I16" s="63"/>
      <c r="J16" s="703">
        <f>+COMBUSTIBLES!N7</f>
        <v>41152</v>
      </c>
      <c r="K16" s="704" t="e">
        <f>+COMBUSTIBLES!#REF!</f>
        <v>#REF!</v>
      </c>
      <c r="L16" s="705">
        <f>+COMBUSTIBLES!C7</f>
        <v>41151</v>
      </c>
      <c r="M16" s="705" t="e">
        <f>+COMBUSTIBLES!#REF!</f>
        <v>#REF!</v>
      </c>
      <c r="N16" s="699"/>
      <c r="O16" s="700"/>
      <c r="P16" s="702"/>
      <c r="Q16" s="700"/>
      <c r="R16" s="49" t="s">
        <v>211</v>
      </c>
      <c r="S16" s="86" t="s">
        <v>40</v>
      </c>
      <c r="T16" s="15"/>
      <c r="U16" s="15"/>
      <c r="V16" s="287">
        <v>0.15229999999999999</v>
      </c>
      <c r="W16" s="287">
        <v>5.5E-2</v>
      </c>
      <c r="X16" s="287"/>
      <c r="Y16" s="287"/>
      <c r="Z16" s="287">
        <v>0.79269999999999996</v>
      </c>
      <c r="AA16" s="46"/>
      <c r="AB16" s="7"/>
      <c r="AC16" s="206"/>
      <c r="AD16" s="29" t="s">
        <v>59</v>
      </c>
      <c r="AE16" s="25">
        <f>+(N19+P19)/(J9+M9)</f>
        <v>1.0156402737047898</v>
      </c>
      <c r="AF16" s="170"/>
      <c r="AH16" s="45" t="s">
        <v>211</v>
      </c>
      <c r="AI16" s="1" t="s">
        <v>75</v>
      </c>
      <c r="BK16" s="683"/>
      <c r="BL16" s="683"/>
    </row>
    <row r="17" spans="1:64">
      <c r="A17" s="138" t="s">
        <v>39</v>
      </c>
      <c r="B17" s="93">
        <f>+Historico!N17</f>
        <v>0.99790000000000001</v>
      </c>
      <c r="C17" s="99">
        <f>ROUND(V15*FTCg+W15*FD2G1+X15*FR6G1+Y15*FPGN+Z15*FPMg+AA15*FCB,4)</f>
        <v>0.9909</v>
      </c>
      <c r="D17" s="539">
        <f t="shared" si="0"/>
        <v>-7.014730934963409E-3</v>
      </c>
      <c r="F17" s="99">
        <f>IF(AND(DAY(F3)=1,MONTH(F3)=5),C6,IF(IF(ResumenIndicadores!$F$8="Ft-1",Factores!B17,Factores!C17)=0,"",IF(ResumenIndicadores!$F$8="Ft-1",Factores!B17,Factores!C17)))</f>
        <v>0.9909</v>
      </c>
      <c r="G17" s="26"/>
      <c r="H17" s="65" t="s">
        <v>5</v>
      </c>
      <c r="I17" s="41" t="s">
        <v>66</v>
      </c>
      <c r="J17" s="66" t="s">
        <v>81</v>
      </c>
      <c r="K17" s="66" t="s">
        <v>68</v>
      </c>
      <c r="L17" s="42" t="s">
        <v>81</v>
      </c>
      <c r="M17" s="43" t="s">
        <v>68</v>
      </c>
      <c r="N17" s="66" t="s">
        <v>81</v>
      </c>
      <c r="O17" s="66" t="s">
        <v>68</v>
      </c>
      <c r="P17" s="67" t="s">
        <v>82</v>
      </c>
      <c r="Q17" s="66" t="s">
        <v>71</v>
      </c>
      <c r="R17" s="49" t="s">
        <v>211</v>
      </c>
      <c r="S17" s="86" t="s">
        <v>13</v>
      </c>
      <c r="T17" s="15"/>
      <c r="U17" s="15"/>
      <c r="V17" s="287">
        <v>7.9500000000000001E-2</v>
      </c>
      <c r="W17" s="287">
        <v>0.53959999999999997</v>
      </c>
      <c r="X17" s="287"/>
      <c r="Y17" s="287"/>
      <c r="Z17" s="287">
        <v>0.38090000000000002</v>
      </c>
      <c r="AA17" s="46"/>
      <c r="AB17" s="7"/>
      <c r="AC17" s="206"/>
      <c r="AD17" s="29" t="s">
        <v>60</v>
      </c>
      <c r="AE17" s="25">
        <f>+(N20+P20)/(J10+M10)</f>
        <v>1.0167890870933893</v>
      </c>
      <c r="AF17" s="170"/>
      <c r="AH17" s="45" t="s">
        <v>85</v>
      </c>
      <c r="AI17" s="1" t="s">
        <v>37</v>
      </c>
      <c r="BK17" s="683"/>
      <c r="BL17" s="683"/>
    </row>
    <row r="18" spans="1:64">
      <c r="A18" s="138" t="s">
        <v>40</v>
      </c>
      <c r="B18" s="93">
        <f>+Historico!N18</f>
        <v>0.99790000000000001</v>
      </c>
      <c r="C18" s="99">
        <f>ROUND(V16*FTCg+W16*FD2G3+X16*FR6G3+Y16*FPGN+Z16*FPMg+AA16*FCB,4)</f>
        <v>0.99050000000000005</v>
      </c>
      <c r="D18" s="539">
        <f t="shared" si="0"/>
        <v>-7.4155727026755658E-3</v>
      </c>
      <c r="F18" s="99">
        <f>IF(AND(DAY(F3)=1,MONTH(F3)=5),C6,IF(IF(ResumenIndicadores!$F$8="Ft-1",Factores!B18,Factores!C18)=0,"",IF(ResumenIndicadores!$F$8="Ft-1",Factores!B18,Factores!C18)))</f>
        <v>0.99050000000000005</v>
      </c>
      <c r="G18" s="7"/>
      <c r="H18" s="15" t="s">
        <v>33</v>
      </c>
      <c r="I18" s="44" t="s">
        <v>571</v>
      </c>
      <c r="J18" s="199">
        <f>+COMBUSTIBLES!N9</f>
        <v>8.7899999999999991</v>
      </c>
      <c r="K18" s="199">
        <f>+COMBUSTIBLES!O9</f>
        <v>6.5</v>
      </c>
      <c r="L18" s="200">
        <f>+COMBUSTIBLES!C9</f>
        <v>9.44</v>
      </c>
      <c r="M18" s="201">
        <f>+COMBUSTIBLES!D9</f>
        <v>6.87</v>
      </c>
      <c r="N18" s="38">
        <f>+COMBUSTIBLES!E9</f>
        <v>8.7899999999999991</v>
      </c>
      <c r="O18" s="38">
        <f>+COMBUSTIBLES!F9</f>
        <v>6.5</v>
      </c>
      <c r="P18" s="203">
        <f>+COMBUSTIBLES!G9</f>
        <v>1.01</v>
      </c>
      <c r="Q18" s="204">
        <f>+COMBUSTIBLES!H9</f>
        <v>0.39</v>
      </c>
      <c r="R18" s="1" t="s">
        <v>570</v>
      </c>
      <c r="S18" s="56" t="s">
        <v>564</v>
      </c>
      <c r="AC18" s="206"/>
      <c r="AD18" s="29" t="s">
        <v>61</v>
      </c>
      <c r="AE18" s="25">
        <f>+(O20+Q20)/(K10+N10)</f>
        <v>1.0012820512820513</v>
      </c>
      <c r="AH18" s="45"/>
      <c r="BK18" s="683"/>
      <c r="BL18" s="683"/>
    </row>
    <row r="19" spans="1:64">
      <c r="A19" s="138" t="s">
        <v>13</v>
      </c>
      <c r="B19" s="93">
        <f>+Historico!N19</f>
        <v>0.999</v>
      </c>
      <c r="C19" s="99">
        <f>ROUND(V17*FTCg+W17*FD2G3+X17*FR6G3+Y17*FPGN+Z17*FPMg+AA17*FCB,4)</f>
        <v>1.0033000000000001</v>
      </c>
      <c r="D19" s="539">
        <f t="shared" ref="D19" si="3">+C19/B19-1</f>
        <v>4.304304304304285E-3</v>
      </c>
      <c r="F19" s="99">
        <f>IF(AND(DAY(F3)=1,MONTH(F3)=5),C6,IF(IF(ResumenIndicadores!$F$8="Ft-1",Factores!B19,Factores!C19)=0,"",IF(ResumenIndicadores!$F$8="Ft-1",Factores!B19,Factores!C19)))</f>
        <v>1.0033000000000001</v>
      </c>
      <c r="G19" s="45" t="s">
        <v>83</v>
      </c>
      <c r="H19" s="64" t="s">
        <v>39</v>
      </c>
      <c r="I19" s="44" t="s">
        <v>76</v>
      </c>
      <c r="J19" s="199"/>
      <c r="K19" s="199"/>
      <c r="L19" s="200">
        <f>+COMBUSTIBLES!C10</f>
        <v>9.19</v>
      </c>
      <c r="M19" s="202"/>
      <c r="N19" s="38">
        <f>+COMBUSTIBLES!E10</f>
        <v>9.19</v>
      </c>
      <c r="O19" s="38">
        <f>+COMBUSTIBLES!F10</f>
        <v>0</v>
      </c>
      <c r="P19" s="203">
        <f>+COMBUSTIBLES!G10</f>
        <v>1.2</v>
      </c>
      <c r="Q19" s="204">
        <f>+COMBUSTIBLES!H10</f>
        <v>0</v>
      </c>
      <c r="AC19" s="206"/>
      <c r="AD19" s="29" t="s">
        <v>212</v>
      </c>
      <c r="AE19" s="25">
        <f>+(N21+P21)/(J11+M11)</f>
        <v>1.0156402737047898</v>
      </c>
      <c r="BK19" s="683"/>
      <c r="BL19" s="683"/>
    </row>
    <row r="20" spans="1:64">
      <c r="A20" s="616" t="s">
        <v>519</v>
      </c>
      <c r="B20" s="93">
        <f>+Historico!N20</f>
        <v>1</v>
      </c>
      <c r="C20" s="99">
        <v>1</v>
      </c>
      <c r="D20" s="539">
        <f t="shared" ref="D20:D21" si="4">+C20/B20-1</f>
        <v>0</v>
      </c>
      <c r="F20" s="99">
        <f>IF(IF(ResumenIndicadores!$F$8="Ft-1",Factores!B20,Factores!C20)=0,"",IF(ResumenIndicadores!$F$8="Ft-1",Factores!B20,Factores!C20))</f>
        <v>1</v>
      </c>
      <c r="G20" s="45" t="s">
        <v>84</v>
      </c>
      <c r="H20" s="64" t="s">
        <v>36</v>
      </c>
      <c r="I20" s="44" t="s">
        <v>74</v>
      </c>
      <c r="J20" s="199"/>
      <c r="K20" s="199"/>
      <c r="L20" s="200">
        <f>+COMBUSTIBLES!C11</f>
        <v>9.69</v>
      </c>
      <c r="M20" s="201">
        <f>+COMBUSTIBLES!D11</f>
        <v>7.81</v>
      </c>
      <c r="N20" s="38">
        <f>+COMBUSTIBLES!E11</f>
        <v>9.69</v>
      </c>
      <c r="O20" s="38">
        <f>+COMBUSTIBLES!F11</f>
        <v>7.81</v>
      </c>
      <c r="P20" s="203">
        <f>+COMBUSTIBLES!G11</f>
        <v>0</v>
      </c>
      <c r="Q20" s="204">
        <f>+COMBUSTIBLES!H11</f>
        <v>0</v>
      </c>
      <c r="AC20" s="206"/>
      <c r="AD20" s="29" t="s">
        <v>62</v>
      </c>
      <c r="AE20" s="25">
        <f>+(N22+P22)/(J12+M12)</f>
        <v>1.0206185567010311</v>
      </c>
      <c r="BK20" s="683"/>
      <c r="BL20" s="683"/>
    </row>
    <row r="21" spans="1:64">
      <c r="A21" s="636" t="s">
        <v>543</v>
      </c>
      <c r="B21" s="637">
        <f>+Historico!N21</f>
        <v>1.18</v>
      </c>
      <c r="C21" s="638">
        <f>B21</f>
        <v>1.18</v>
      </c>
      <c r="D21" s="639">
        <f t="shared" si="4"/>
        <v>0</v>
      </c>
      <c r="F21" s="638">
        <f>C21</f>
        <v>1.18</v>
      </c>
      <c r="G21" s="45" t="s">
        <v>211</v>
      </c>
      <c r="H21" s="64" t="s">
        <v>370</v>
      </c>
      <c r="I21" s="44" t="s">
        <v>76</v>
      </c>
      <c r="J21" s="199"/>
      <c r="K21" s="199"/>
      <c r="L21" s="200">
        <f>+COMBUSTIBLES!C12</f>
        <v>9.19</v>
      </c>
      <c r="M21" s="202"/>
      <c r="N21" s="38">
        <f>+COMBUSTIBLES!E12</f>
        <v>9.19</v>
      </c>
      <c r="O21" s="38">
        <f>+COMBUSTIBLES!F12</f>
        <v>0</v>
      </c>
      <c r="P21" s="203">
        <f>+COMBUSTIBLES!G12</f>
        <v>1.2</v>
      </c>
      <c r="Q21" s="204">
        <f>+COMBUSTIBLES!H12</f>
        <v>0</v>
      </c>
      <c r="AC21" s="206"/>
      <c r="AD21" s="17"/>
      <c r="AE21" s="17"/>
      <c r="BK21" s="683"/>
      <c r="BL21" s="683"/>
    </row>
    <row r="22" spans="1:64">
      <c r="A22" s="133" t="s">
        <v>540</v>
      </c>
      <c r="B22" s="102" t="str">
        <f>+Historico!N22</f>
        <v/>
      </c>
      <c r="C22" s="103"/>
      <c r="D22" s="539"/>
      <c r="F22" s="103" t="str">
        <f>IF(IF(ResumenIndicadores!$F$9="Ft-1",Factores!B22,Factores!C22)=0,"",IF(ResumenIndicadores!$F$9="Ft-1",Factores!B22,Factores!C22))</f>
        <v/>
      </c>
      <c r="G22" s="45" t="s">
        <v>85</v>
      </c>
      <c r="H22" s="15" t="s">
        <v>37</v>
      </c>
      <c r="I22" s="44" t="s">
        <v>77</v>
      </c>
      <c r="J22" s="199"/>
      <c r="K22" s="199"/>
      <c r="L22" s="200">
        <f>+COMBUSTIBLES!C13</f>
        <v>9.8800000000000008</v>
      </c>
      <c r="M22" s="202"/>
      <c r="N22" s="38">
        <f>+COMBUSTIBLES!E13</f>
        <v>9.8800000000000008</v>
      </c>
      <c r="O22" s="38">
        <f>+COMBUSTIBLES!F13</f>
        <v>0</v>
      </c>
      <c r="P22" s="203">
        <f>+COMBUSTIBLES!G13</f>
        <v>1.01</v>
      </c>
      <c r="Q22" s="204">
        <f>+COMBUSTIBLES!H13</f>
        <v>0</v>
      </c>
      <c r="AC22" s="206"/>
      <c r="AD22" s="17"/>
      <c r="AE22" s="17"/>
      <c r="BK22" s="683"/>
      <c r="BL22" s="683"/>
    </row>
    <row r="23" spans="1:64">
      <c r="A23" s="137" t="s">
        <v>27</v>
      </c>
      <c r="B23" s="93">
        <f>+Historico!N23</f>
        <v>0.9899</v>
      </c>
      <c r="C23" s="90">
        <f t="shared" ref="C23:C30" si="5">ROUND(J26*FTCtp+K26*FPMtp+L26*FPALtp+M26*FPCUtp,4)</f>
        <v>0.97829999999999995</v>
      </c>
      <c r="D23" s="539">
        <f t="shared" ref="D23:D30" si="6">+C23/B23-1</f>
        <v>-1.1718355389433333E-2</v>
      </c>
      <c r="F23" s="90">
        <f>IF(AND(DAY(F3)=1,MONTH(F3)=5),C6,IF(IF(ResumenIndicadores!$F$9="Ft-1",Factores!B23,Factores!C23)=0,"",IF(ResumenIndicadores!$F$9="Ft-1",Factores!B23,Factores!C23)))</f>
        <v>0.9899</v>
      </c>
      <c r="G23" s="7"/>
      <c r="H23" s="668" t="s">
        <v>581</v>
      </c>
      <c r="I23" s="7"/>
      <c r="J23" s="466"/>
      <c r="K23" s="466"/>
      <c r="L23" s="467"/>
      <c r="M23" s="455"/>
      <c r="N23" s="7"/>
      <c r="O23" s="7"/>
      <c r="P23" s="7"/>
      <c r="Q23" s="7"/>
      <c r="AC23" s="206"/>
      <c r="AD23" s="17"/>
      <c r="AE23" s="17"/>
      <c r="AF23" s="7"/>
      <c r="AI23" s="7"/>
      <c r="AJ23" s="7"/>
      <c r="AK23" s="7"/>
      <c r="AL23" s="7"/>
      <c r="AM23" s="7"/>
      <c r="AN23" s="7"/>
      <c r="AO23" s="7"/>
      <c r="AP23" s="7"/>
      <c r="BK23" s="683"/>
      <c r="BL23" s="683"/>
    </row>
    <row r="24" spans="1:64" ht="26.25">
      <c r="A24" s="138" t="s">
        <v>28</v>
      </c>
      <c r="B24" s="93">
        <f>+Historico!N24</f>
        <v>1.1040000000000001</v>
      </c>
      <c r="C24" s="90">
        <f>ROUND(J27*FTCtp+K27*FPMtp+L27*FPALtp+M27*FPCUtp,4)</f>
        <v>1.0508999999999999</v>
      </c>
      <c r="D24" s="539">
        <f>+C24/B24-1</f>
        <v>-4.8097826086956674E-2</v>
      </c>
      <c r="F24" s="90">
        <f>IF(AND(DAY(F3)=1,MONTH(F3)=5),C6,IF(IF(ResumenIndicadores!$F$9="Ft-1",Factores!B24,Factores!C24)=0,"",IF(ResumenIndicadores!$F$9="Ft-1",Factores!B24,Factores!C24)))</f>
        <v>1.1040000000000001</v>
      </c>
      <c r="G24" s="7"/>
      <c r="H24" s="519" t="s">
        <v>447</v>
      </c>
      <c r="I24" s="7"/>
      <c r="J24" s="466"/>
      <c r="K24" s="466"/>
      <c r="L24" s="467"/>
      <c r="M24" s="455"/>
      <c r="AC24" s="206"/>
      <c r="AD24" s="17"/>
      <c r="AE24" s="17"/>
      <c r="AF24" s="7"/>
      <c r="AI24" s="7"/>
      <c r="AJ24" s="7"/>
      <c r="AK24" s="7"/>
      <c r="AL24" s="7"/>
      <c r="AM24" s="7"/>
      <c r="AN24" s="7"/>
      <c r="AO24" s="7"/>
      <c r="AP24" s="7"/>
      <c r="BK24" s="683"/>
      <c r="BL24" s="683"/>
    </row>
    <row r="25" spans="1:64">
      <c r="A25" s="138" t="s">
        <v>29</v>
      </c>
      <c r="B25" s="93">
        <f>+Historico!N25</f>
        <v>0.99650000000000005</v>
      </c>
      <c r="C25" s="90">
        <f t="shared" si="5"/>
        <v>0.98550000000000004</v>
      </c>
      <c r="D25" s="539">
        <f t="shared" si="6"/>
        <v>-1.1038635223281523E-2</v>
      </c>
      <c r="F25" s="90">
        <f>IF(AND(DAY(F3)=1,MONTH(F3)=5),C6,IF(IF(ResumenIndicadores!$F$9="Ft-1",Factores!B25,Factores!C25)=0,"",IF(ResumenIndicadores!$F$9="Ft-1",Factores!B25,Factores!C25)))</f>
        <v>0.99650000000000005</v>
      </c>
      <c r="G25" s="7"/>
      <c r="J25" s="198" t="s">
        <v>6</v>
      </c>
      <c r="K25" s="198" t="s">
        <v>7</v>
      </c>
      <c r="L25" s="198" t="s">
        <v>25</v>
      </c>
      <c r="M25" s="198" t="s">
        <v>26</v>
      </c>
      <c r="AC25" s="206"/>
      <c r="AD25" s="17"/>
      <c r="AE25" s="17"/>
      <c r="AF25" s="7"/>
      <c r="AI25" s="7"/>
      <c r="AJ25" s="7"/>
      <c r="AK25" s="7"/>
      <c r="AL25" s="7"/>
      <c r="AM25" s="7"/>
      <c r="AN25" s="7"/>
      <c r="AO25" s="7"/>
      <c r="AP25" s="7"/>
      <c r="BK25" s="683"/>
      <c r="BL25" s="683"/>
    </row>
    <row r="26" spans="1:64" ht="26.25">
      <c r="A26" s="138" t="s">
        <v>30</v>
      </c>
      <c r="B26" s="93">
        <f>+Historico!N26</f>
        <v>0.99560000000000004</v>
      </c>
      <c r="C26" s="90">
        <f t="shared" si="5"/>
        <v>0.98470000000000002</v>
      </c>
      <c r="D26" s="539">
        <f t="shared" si="6"/>
        <v>-1.0948171956609132E-2</v>
      </c>
      <c r="F26" s="90">
        <f>IF(AND(DAY(F3)=1,MONTH(F3)=5),C6,IF(IF(ResumenIndicadores!$F$9="Ft-1",Factores!B26,Factores!C26)=0,"",IF(ResumenIndicadores!$F$9="Ft-1",Factores!B26,Factores!C26)))</f>
        <v>0.99560000000000004</v>
      </c>
      <c r="G26" s="7"/>
      <c r="I26" s="35" t="s">
        <v>224</v>
      </c>
      <c r="J26" s="353">
        <v>1</v>
      </c>
      <c r="K26" s="353">
        <v>0</v>
      </c>
      <c r="L26" s="353">
        <v>0</v>
      </c>
      <c r="M26" s="353">
        <v>0</v>
      </c>
      <c r="U26" s="7"/>
      <c r="V26" s="7"/>
      <c r="W26" s="7"/>
      <c r="X26" s="7"/>
      <c r="Y26" s="7"/>
      <c r="Z26" s="7"/>
      <c r="AA26" s="7"/>
      <c r="AB26" t="s">
        <v>223</v>
      </c>
      <c r="AC26" s="116"/>
      <c r="AD26" s="519" t="s">
        <v>451</v>
      </c>
      <c r="AI26" s="17"/>
      <c r="AJ26" s="17"/>
      <c r="AK26" s="17"/>
      <c r="AL26" s="17"/>
      <c r="AM26" s="17"/>
      <c r="AN26" s="17"/>
      <c r="AO26" s="17"/>
      <c r="AP26" s="17"/>
      <c r="BK26" s="683"/>
      <c r="BL26" s="683"/>
    </row>
    <row r="27" spans="1:64">
      <c r="A27" s="138" t="s">
        <v>122</v>
      </c>
      <c r="B27" s="93">
        <f>+Historico!N27</f>
        <v>0.9899</v>
      </c>
      <c r="C27" s="90">
        <f t="shared" si="5"/>
        <v>0.97829999999999995</v>
      </c>
      <c r="D27" s="539">
        <f t="shared" si="6"/>
        <v>-1.1718355389433333E-2</v>
      </c>
      <c r="F27" s="90">
        <f>IF(AND(DAY(F3)=1,MONTH(F3)=5),C6,IF(IF(ResumenIndicadores!$F$9="Ft-1",Factores!B27,Factores!C27)=0,"",IF(ResumenIndicadores!$F$9="Ft-1",Factores!B27,Factores!C27)))</f>
        <v>0.9899</v>
      </c>
      <c r="G27" s="7"/>
      <c r="I27" s="35" t="s">
        <v>225</v>
      </c>
      <c r="J27" s="353">
        <v>0.28000000000000003</v>
      </c>
      <c r="K27" s="353">
        <v>0.29470000000000002</v>
      </c>
      <c r="L27" s="353">
        <v>0.41749999999999998</v>
      </c>
      <c r="M27" s="353">
        <v>7.7999999999999996E-3</v>
      </c>
      <c r="O27" s="7"/>
      <c r="P27" s="36"/>
      <c r="Q27" s="36"/>
      <c r="R27" s="36"/>
      <c r="S27" s="36"/>
      <c r="U27" s="7"/>
      <c r="V27" s="7"/>
      <c r="W27" s="7"/>
      <c r="X27" s="7"/>
      <c r="Y27" s="7"/>
      <c r="Z27" s="7"/>
      <c r="AA27" s="7"/>
      <c r="AB27" t="s">
        <v>223</v>
      </c>
      <c r="AC27" s="116"/>
      <c r="AD27" s="13" t="s">
        <v>15</v>
      </c>
      <c r="AI27" s="336" t="s">
        <v>514</v>
      </c>
      <c r="AJ27" s="407"/>
      <c r="AK27" s="408"/>
      <c r="AL27" s="408"/>
      <c r="AM27" s="18"/>
      <c r="AN27" s="18"/>
      <c r="AO27" s="18"/>
      <c r="AP27" s="18"/>
      <c r="BK27" s="683"/>
      <c r="BL27" s="683"/>
    </row>
    <row r="28" spans="1:64">
      <c r="A28" s="138" t="s">
        <v>123</v>
      </c>
      <c r="B28" s="93">
        <f>+Historico!N28</f>
        <v>0.9899</v>
      </c>
      <c r="C28" s="90">
        <f t="shared" si="5"/>
        <v>0.97829999999999995</v>
      </c>
      <c r="D28" s="539">
        <f t="shared" si="6"/>
        <v>-1.1718355389433333E-2</v>
      </c>
      <c r="F28" s="90">
        <f>IF(AND(DAY(F3)=1,MONTH(F3)=5),C6,IF(IF(ResumenIndicadores!$F$9="Ft-1",Factores!B28,Factores!C28)=0,"",IF(ResumenIndicadores!$F$9="Ft-1",Factores!B28,Factores!C28)))</f>
        <v>0.9899</v>
      </c>
      <c r="G28" s="7"/>
      <c r="I28" s="35" t="s">
        <v>226</v>
      </c>
      <c r="J28" s="353">
        <v>0.51349999999999996</v>
      </c>
      <c r="K28" s="353">
        <v>0.48380000000000001</v>
      </c>
      <c r="L28" s="353">
        <v>0</v>
      </c>
      <c r="M28" s="353">
        <v>2.7000000000000001E-3</v>
      </c>
      <c r="O28" s="7" t="s">
        <v>18</v>
      </c>
      <c r="P28" s="55">
        <f>+FTCts</f>
        <v>0.82568807339449535</v>
      </c>
      <c r="Q28" s="55">
        <f>+FPMts</f>
        <v>1.0860552849237777</v>
      </c>
      <c r="R28" s="55">
        <f>+FPCUts</f>
        <v>1.3633800240448146</v>
      </c>
      <c r="S28" s="55">
        <f>+FPALts</f>
        <v>0.9417771097632115</v>
      </c>
      <c r="AC28" s="116"/>
      <c r="AD28" s="17" t="s">
        <v>24</v>
      </c>
      <c r="AI28" s="4"/>
      <c r="AJ28" s="62" t="s">
        <v>10</v>
      </c>
      <c r="AK28" s="74" t="s">
        <v>0</v>
      </c>
      <c r="AL28" s="74" t="s">
        <v>11</v>
      </c>
      <c r="AM28" s="53" t="s">
        <v>22</v>
      </c>
      <c r="AN28" s="53" t="s">
        <v>23</v>
      </c>
      <c r="AO28" s="5"/>
      <c r="AP28" s="5"/>
      <c r="BK28" s="683"/>
      <c r="BL28" s="683"/>
    </row>
    <row r="29" spans="1:64">
      <c r="A29" s="137" t="s">
        <v>124</v>
      </c>
      <c r="B29" s="93">
        <f>+Historico!N29</f>
        <v>0.9899</v>
      </c>
      <c r="C29" s="90">
        <f t="shared" si="5"/>
        <v>0.97829999999999995</v>
      </c>
      <c r="D29" s="539">
        <f t="shared" si="6"/>
        <v>-1.1718355389433333E-2</v>
      </c>
      <c r="F29" s="90">
        <f>IF(AND(DAY(F3)=1,MONTH(F3)=5),C6,IF(IF(ResumenIndicadores!$F$9="Ft-1",Factores!B29,Factores!C29)=0,"",IF(ResumenIndicadores!$F$9="Ft-1",Factores!B29,Factores!C29)))</f>
        <v>0.9899</v>
      </c>
      <c r="G29" s="7"/>
      <c r="I29" s="35" t="s">
        <v>227</v>
      </c>
      <c r="J29" s="353">
        <v>0.51590000000000003</v>
      </c>
      <c r="K29" s="353">
        <v>0.48349999999999999</v>
      </c>
      <c r="L29" s="353">
        <v>0</v>
      </c>
      <c r="M29" s="353">
        <v>5.9999999999999995E-4</v>
      </c>
      <c r="AC29" s="116"/>
      <c r="AD29" s="29" t="s">
        <v>16</v>
      </c>
      <c r="AE29" s="25">
        <f>+AK30/AK29</f>
        <v>0.99113368588670459</v>
      </c>
      <c r="AF29" s="17"/>
      <c r="AG29" s="26"/>
      <c r="AH29" s="26"/>
      <c r="AI29" s="84" t="s">
        <v>1</v>
      </c>
      <c r="AJ29" s="73" t="str">
        <f t="shared" ref="AJ29:AL30" si="7">+AJ9</f>
        <v>Resolucion Base</v>
      </c>
      <c r="AK29" s="75">
        <f t="shared" si="7"/>
        <v>209.909211</v>
      </c>
      <c r="AL29" s="75">
        <f t="shared" si="7"/>
        <v>2.6680000000000001</v>
      </c>
      <c r="AM29" s="82">
        <v>271.35000000000002</v>
      </c>
      <c r="AN29" s="82">
        <v>1856.7619999999999</v>
      </c>
      <c r="AO29" s="455"/>
      <c r="AP29" s="455"/>
      <c r="BK29" s="683"/>
      <c r="BL29" s="683"/>
    </row>
    <row r="30" spans="1:64">
      <c r="A30" s="137" t="s">
        <v>375</v>
      </c>
      <c r="B30" s="93">
        <f>+Historico!N30</f>
        <v>0.9899</v>
      </c>
      <c r="C30" s="90">
        <f t="shared" si="5"/>
        <v>0.97829999999999995</v>
      </c>
      <c r="D30" s="540">
        <f t="shared" si="6"/>
        <v>-1.1718355389433333E-2</v>
      </c>
      <c r="F30" s="90">
        <f>IF(AND(DAY(F3)=1,MONTH(F3)=5),C6,IF(IF(ResumenIndicadores!$F$9="Ft-1",Factores!B30,Factores!C30)=0,"",IF(ResumenIndicadores!$F$9="Ft-1",Factores!B30,Factores!C30)))</f>
        <v>0.9899</v>
      </c>
      <c r="G30" s="7"/>
      <c r="I30" s="35" t="s">
        <v>228</v>
      </c>
      <c r="J30" s="353">
        <v>1</v>
      </c>
      <c r="K30" s="353">
        <v>0</v>
      </c>
      <c r="L30" s="353">
        <v>0</v>
      </c>
      <c r="M30" s="353">
        <v>0</v>
      </c>
      <c r="O30" s="124" t="s">
        <v>153</v>
      </c>
      <c r="P30" s="124"/>
      <c r="Q30" s="124"/>
      <c r="R30" s="124"/>
      <c r="S30" s="124"/>
      <c r="AC30" s="116"/>
      <c r="AD30" s="29" t="s">
        <v>17</v>
      </c>
      <c r="AE30" s="25">
        <f>+AL30/AL29</f>
        <v>0.97826086956521729</v>
      </c>
      <c r="AF30" s="17"/>
      <c r="AG30" s="26"/>
      <c r="AH30" s="26"/>
      <c r="AI30" s="85" t="s">
        <v>4</v>
      </c>
      <c r="AJ30" s="114">
        <f t="shared" si="7"/>
        <v>41152</v>
      </c>
      <c r="AK30" s="76">
        <f>+'IPM-TC-COBRE-ALUMINIO'!G6</f>
        <v>208.04809</v>
      </c>
      <c r="AL30" s="115">
        <f>+'IPM-TC-COBRE-ALUMINIO'!F6</f>
        <v>2.61</v>
      </c>
      <c r="AM30" s="129">
        <f>+'IPM-TC-COBRE-ALUMINIO'!E6</f>
        <v>362.63749999999999</v>
      </c>
      <c r="AN30" s="129">
        <f>+'IPM-TC-COBRE-ALUMINIO'!D6</f>
        <v>2110.2591538461538</v>
      </c>
      <c r="AO30" s="455"/>
      <c r="AP30" s="455"/>
      <c r="BK30" s="683"/>
      <c r="BL30" s="683"/>
    </row>
    <row r="31" spans="1:64">
      <c r="A31" s="133" t="s">
        <v>542</v>
      </c>
      <c r="B31" s="102" t="str">
        <f>+Historico!N31</f>
        <v/>
      </c>
      <c r="C31" s="103"/>
      <c r="D31" s="539"/>
      <c r="F31" s="103" t="str">
        <f>IF(IF(ResumenIndicadores!$F$10="Ft-1",Factores!B31,Factores!C31)=0,"",IF(ResumenIndicadores!$F$10="Ft-1",Factores!B31,Factores!C31))</f>
        <v/>
      </c>
      <c r="G31" s="7"/>
      <c r="I31" s="15" t="s">
        <v>229</v>
      </c>
      <c r="J31" s="353">
        <v>1</v>
      </c>
      <c r="K31" s="353">
        <v>0</v>
      </c>
      <c r="L31" s="353">
        <v>0</v>
      </c>
      <c r="M31" s="353">
        <v>0</v>
      </c>
      <c r="O31" s="121" t="s">
        <v>137</v>
      </c>
      <c r="P31" s="121" t="s">
        <v>2</v>
      </c>
      <c r="Q31" s="121" t="s">
        <v>3</v>
      </c>
      <c r="R31" s="121" t="s">
        <v>138</v>
      </c>
      <c r="S31" s="121" t="s">
        <v>86</v>
      </c>
      <c r="AC31" s="116"/>
      <c r="AD31" s="15" t="s">
        <v>162</v>
      </c>
      <c r="AE31" s="25">
        <f>+AM30/AM29</f>
        <v>1.3364197530864197</v>
      </c>
      <c r="AF31" s="17"/>
      <c r="AG31" s="26"/>
      <c r="AH31" s="26"/>
      <c r="AJ31" s="83" t="s">
        <v>8</v>
      </c>
      <c r="AK31" s="60">
        <f>AK30/AK29-1</f>
        <v>-8.8663141132954149E-3</v>
      </c>
      <c r="AL31" s="60">
        <f>AL30/AL29-1</f>
        <v>-2.1739130434782705E-2</v>
      </c>
      <c r="AM31" s="54">
        <f>AM30/AM29-1</f>
        <v>0.33641975308641969</v>
      </c>
      <c r="AN31" s="54">
        <f>AN30/AN29-1</f>
        <v>0.13652646588316331</v>
      </c>
      <c r="AO31" s="12"/>
      <c r="AP31" s="12"/>
      <c r="BK31" s="683"/>
      <c r="BL31" s="683"/>
    </row>
    <row r="32" spans="1:64">
      <c r="A32" s="141" t="s">
        <v>165</v>
      </c>
      <c r="B32" s="97">
        <f>+Historico!N32</f>
        <v>1.0378000000000001</v>
      </c>
      <c r="C32" s="90">
        <f t="shared" ref="C32:C46" si="8">ROUND(SUMPRODUCT($P$28:$S$28,P32:S32),4)</f>
        <v>1.0193000000000001</v>
      </c>
      <c r="D32" s="539">
        <f t="shared" ref="D32:D49" si="9">+C32/B32-1</f>
        <v>-1.782617074580839E-2</v>
      </c>
      <c r="F32" s="90">
        <f>IF(IF(ResumenIndicadores!$F$10="Ft-1",Factores!B32,Factores!C32)=0,"",IF(ResumenIndicadores!$F$10="Ft-1",Factores!B32,Factores!C32))</f>
        <v>1.0378000000000001</v>
      </c>
      <c r="G32" s="7"/>
      <c r="I32" s="15" t="s">
        <v>230</v>
      </c>
      <c r="J32" s="353">
        <v>1</v>
      </c>
      <c r="K32" s="353">
        <v>0</v>
      </c>
      <c r="L32" s="353">
        <v>0</v>
      </c>
      <c r="M32" s="353">
        <v>0</v>
      </c>
      <c r="O32" s="122">
        <v>1</v>
      </c>
      <c r="P32" s="169">
        <v>0.2596</v>
      </c>
      <c r="Q32" s="169">
        <v>0.63919999999999999</v>
      </c>
      <c r="R32" s="169">
        <v>3.6499999999999998E-2</v>
      </c>
      <c r="S32" s="169">
        <v>6.4699999999999994E-2</v>
      </c>
      <c r="AC32" s="116"/>
      <c r="AD32" s="15" t="s">
        <v>161</v>
      </c>
      <c r="AE32" s="25">
        <f>+AN30/AN29</f>
        <v>1.1365264658831633</v>
      </c>
      <c r="AF32" s="17"/>
      <c r="AG32" s="26"/>
      <c r="AH32" s="26"/>
      <c r="BK32" s="683"/>
      <c r="BL32" s="683"/>
    </row>
    <row r="33" spans="1:64">
      <c r="A33" s="141" t="s">
        <v>166</v>
      </c>
      <c r="B33" s="97">
        <f>+Historico!N33</f>
        <v>1.0489999999999999</v>
      </c>
      <c r="C33" s="90">
        <f t="shared" si="8"/>
        <v>1.0335000000000001</v>
      </c>
      <c r="D33" s="539">
        <f t="shared" si="9"/>
        <v>-1.4775977121067485E-2</v>
      </c>
      <c r="F33" s="90">
        <f>IF(IF(ResumenIndicadores!$F$10="Ft-1",Factores!B33,Factores!C33)=0,"",IF(ResumenIndicadores!$F$10="Ft-1",Factores!B33,Factores!C33))</f>
        <v>1.0489999999999999</v>
      </c>
      <c r="G33" s="7"/>
      <c r="H33" s="7"/>
      <c r="I33" s="35" t="s">
        <v>231</v>
      </c>
      <c r="J33" s="353">
        <v>1</v>
      </c>
      <c r="K33" s="353">
        <v>0</v>
      </c>
      <c r="L33" s="353">
        <v>0</v>
      </c>
      <c r="M33" s="353">
        <v>0</v>
      </c>
      <c r="O33" s="122">
        <v>2</v>
      </c>
      <c r="P33" s="169">
        <v>0.22370000000000001</v>
      </c>
      <c r="Q33" s="169">
        <v>0.71460000000000001</v>
      </c>
      <c r="R33" s="169">
        <v>3.4700000000000002E-2</v>
      </c>
      <c r="S33" s="169">
        <v>2.7E-2</v>
      </c>
      <c r="AC33" s="116"/>
      <c r="AD33" s="7"/>
      <c r="AE33" s="7"/>
      <c r="AF33" s="26"/>
      <c r="AG33" s="26"/>
      <c r="AH33" s="26"/>
      <c r="AI33" s="7"/>
      <c r="AJ33" s="7"/>
      <c r="AK33" s="7"/>
      <c r="AL33" s="7"/>
      <c r="AM33" s="7"/>
      <c r="AN33" s="7"/>
      <c r="AO33" s="7"/>
      <c r="AP33" s="7"/>
      <c r="BK33" s="683"/>
      <c r="BL33" s="683"/>
    </row>
    <row r="34" spans="1:64">
      <c r="A34" s="141" t="s">
        <v>167</v>
      </c>
      <c r="B34" s="97">
        <f>+Historico!N34</f>
        <v>1.0371999999999999</v>
      </c>
      <c r="C34" s="90">
        <f t="shared" si="8"/>
        <v>1.0205</v>
      </c>
      <c r="D34" s="539">
        <f t="shared" si="9"/>
        <v>-1.6101041264944049E-2</v>
      </c>
      <c r="F34" s="90">
        <f>IF(IF(ResumenIndicadores!$F$10="Ft-1",Factores!B34,Factores!C34)=0,"",IF(ResumenIndicadores!$F$10="Ft-1",Factores!B34,Factores!C34))</f>
        <v>1.0371999999999999</v>
      </c>
      <c r="G34" s="7"/>
      <c r="H34" s="7"/>
      <c r="O34" s="122">
        <v>3</v>
      </c>
      <c r="P34" s="169">
        <v>0.25669999999999998</v>
      </c>
      <c r="Q34" s="169">
        <v>0.66539999999999999</v>
      </c>
      <c r="R34" s="169">
        <v>2.9700000000000001E-2</v>
      </c>
      <c r="S34" s="169">
        <v>4.82E-2</v>
      </c>
      <c r="AC34" s="116"/>
      <c r="AD34" s="7"/>
      <c r="AE34" s="7"/>
      <c r="AF34" s="26"/>
      <c r="AG34" s="26"/>
      <c r="AH34" s="26"/>
      <c r="AI34" s="7"/>
      <c r="AJ34" s="7"/>
      <c r="AK34" s="7"/>
      <c r="AL34" s="7"/>
      <c r="AM34" s="7"/>
      <c r="AN34" s="7"/>
      <c r="AO34" s="7"/>
      <c r="AP34" s="7"/>
      <c r="BK34" s="683"/>
      <c r="BL34" s="683"/>
    </row>
    <row r="35" spans="1:64">
      <c r="A35" s="141" t="s">
        <v>168</v>
      </c>
      <c r="B35" s="97">
        <f>+Historico!N35</f>
        <v>1.0327</v>
      </c>
      <c r="C35" s="90">
        <f t="shared" si="8"/>
        <v>1.0163</v>
      </c>
      <c r="D35" s="539">
        <f t="shared" si="9"/>
        <v>-1.5880701074852288E-2</v>
      </c>
      <c r="F35" s="90">
        <f>IF(IF(ResumenIndicadores!$F$10="Ft-1",Factores!B35,Factores!C35)=0,"",IF(ResumenIndicadores!$F$10="Ft-1",Factores!B35,Factores!C35))</f>
        <v>1.0327</v>
      </c>
      <c r="G35" s="7"/>
      <c r="J35" s="124"/>
      <c r="K35" s="124"/>
      <c r="L35" s="124"/>
      <c r="M35" s="124"/>
      <c r="O35" s="122">
        <v>4</v>
      </c>
      <c r="P35" s="123">
        <v>0.25269999999999998</v>
      </c>
      <c r="Q35" s="123">
        <v>0.67520000000000002</v>
      </c>
      <c r="R35" s="123">
        <v>1.5299999999999999E-2</v>
      </c>
      <c r="S35" s="123">
        <v>5.6800000000000003E-2</v>
      </c>
      <c r="AC35" s="116"/>
      <c r="AD35" s="17"/>
      <c r="AE35" s="17"/>
      <c r="AF35" s="17"/>
      <c r="AG35" s="26"/>
      <c r="AH35" s="26"/>
      <c r="AI35" s="336" t="s">
        <v>21</v>
      </c>
      <c r="AJ35" s="407"/>
      <c r="AK35" s="408"/>
      <c r="AL35" s="408"/>
      <c r="BK35" s="683"/>
      <c r="BL35" s="683"/>
    </row>
    <row r="36" spans="1:64">
      <c r="A36" s="141" t="s">
        <v>169</v>
      </c>
      <c r="B36" s="97">
        <f>+Historico!N36</f>
        <v>1.0196000000000001</v>
      </c>
      <c r="C36" s="90">
        <f t="shared" si="8"/>
        <v>1.0043</v>
      </c>
      <c r="D36" s="539">
        <f t="shared" si="9"/>
        <v>-1.5005884660651336E-2</v>
      </c>
      <c r="F36" s="90">
        <f>IF(IF(ResumenIndicadores!$F$10="Ft-1",Factores!B36,Factores!C36)=0,"",IF(ResumenIndicadores!$F$10="Ft-1",Factores!B36,Factores!C36))</f>
        <v>1.0196000000000001</v>
      </c>
      <c r="G36" s="7"/>
      <c r="H36" s="124" t="s">
        <v>156</v>
      </c>
      <c r="I36" s="124"/>
      <c r="J36" s="124"/>
      <c r="K36" s="124"/>
      <c r="L36" s="124"/>
      <c r="M36" s="124"/>
      <c r="O36" s="122">
        <v>5</v>
      </c>
      <c r="P36" s="169">
        <v>0.32029999999999997</v>
      </c>
      <c r="Q36" s="169">
        <v>0.62</v>
      </c>
      <c r="R36" s="169">
        <v>2.4400000000000002E-2</v>
      </c>
      <c r="S36" s="169">
        <v>3.5299999999999998E-2</v>
      </c>
      <c r="AC36" s="116"/>
      <c r="AD36" s="1" t="s">
        <v>18</v>
      </c>
      <c r="AF36" s="17"/>
      <c r="AG36" s="26"/>
      <c r="AH36" s="26"/>
      <c r="AI36" s="1" t="s">
        <v>152</v>
      </c>
      <c r="BK36" s="683"/>
      <c r="BL36" s="683"/>
    </row>
    <row r="37" spans="1:64">
      <c r="A37" s="141" t="s">
        <v>170</v>
      </c>
      <c r="B37" s="97">
        <f>+Historico!N37</f>
        <v>1.0044</v>
      </c>
      <c r="C37" s="90">
        <f t="shared" si="8"/>
        <v>0.98899999999999999</v>
      </c>
      <c r="D37" s="539">
        <f t="shared" si="9"/>
        <v>-1.5332536837913135E-2</v>
      </c>
      <c r="F37" s="90">
        <f>IF(IF(ResumenIndicadores!$F$10="Ft-1",Factores!B37,Factores!C37)=0,"",IF(ResumenIndicadores!$F$10="Ft-1",Factores!B37,Factores!C37))</f>
        <v>1.0044</v>
      </c>
      <c r="G37" s="7"/>
      <c r="H37" s="126" t="s">
        <v>139</v>
      </c>
      <c r="I37" s="121" t="s">
        <v>145</v>
      </c>
      <c r="J37" s="126" t="s">
        <v>2</v>
      </c>
      <c r="K37" s="126" t="s">
        <v>3</v>
      </c>
      <c r="L37" s="126" t="s">
        <v>138</v>
      </c>
      <c r="M37" s="126" t="s">
        <v>86</v>
      </c>
      <c r="O37" s="122">
        <v>6</v>
      </c>
      <c r="P37" s="169">
        <v>0.41449999999999998</v>
      </c>
      <c r="Q37" s="169">
        <v>0.51919999999999999</v>
      </c>
      <c r="R37" s="169">
        <v>4.8399999999999999E-2</v>
      </c>
      <c r="S37" s="169">
        <v>1.7899999999999999E-2</v>
      </c>
      <c r="AC37" s="116"/>
      <c r="AD37" s="15" t="s">
        <v>20</v>
      </c>
      <c r="AE37" s="25">
        <f>+AL39/AL38</f>
        <v>0.82568807339449535</v>
      </c>
      <c r="AF37" s="17"/>
      <c r="AG37" s="26"/>
      <c r="AH37" s="26"/>
      <c r="AI37" s="4"/>
      <c r="AJ37" s="62" t="s">
        <v>10</v>
      </c>
      <c r="AK37" s="74" t="s">
        <v>0</v>
      </c>
      <c r="AL37" s="74" t="s">
        <v>536</v>
      </c>
      <c r="AM37" s="53" t="s">
        <v>154</v>
      </c>
      <c r="AN37" s="53" t="s">
        <v>23</v>
      </c>
      <c r="AO37" s="5"/>
      <c r="AP37" s="5"/>
      <c r="BK37" s="683"/>
      <c r="BL37" s="683"/>
    </row>
    <row r="38" spans="1:64" ht="40.5" customHeight="1">
      <c r="A38" s="141" t="s">
        <v>171</v>
      </c>
      <c r="B38" s="97">
        <f>+Historico!N38</f>
        <v>1.0062</v>
      </c>
      <c r="C38" s="90">
        <f t="shared" si="8"/>
        <v>0.99099999999999999</v>
      </c>
      <c r="D38" s="539">
        <f t="shared" si="9"/>
        <v>-1.5106340687735975E-2</v>
      </c>
      <c r="F38" s="90">
        <f>IF(IF(ResumenIndicadores!$F$10="Ft-1",Factores!B38,Factores!C38)=0,"",IF(ResumenIndicadores!$F$10="Ft-1",Factores!B38,Factores!C38))</f>
        <v>1.0062</v>
      </c>
      <c r="G38" s="7"/>
      <c r="H38" s="118" t="s">
        <v>141</v>
      </c>
      <c r="I38" s="118" t="s">
        <v>142</v>
      </c>
      <c r="J38" s="120">
        <v>1</v>
      </c>
      <c r="K38" s="127"/>
      <c r="L38" s="127"/>
      <c r="M38" s="127"/>
      <c r="O38" s="122">
        <v>7</v>
      </c>
      <c r="P38" s="169">
        <v>0.40710000000000002</v>
      </c>
      <c r="Q38" s="169">
        <v>0.53059999999999996</v>
      </c>
      <c r="R38" s="169">
        <v>4.7300000000000002E-2</v>
      </c>
      <c r="S38" s="169">
        <v>1.4999999999999999E-2</v>
      </c>
      <c r="AC38" s="116"/>
      <c r="AD38" s="15" t="s">
        <v>19</v>
      </c>
      <c r="AE38" s="25">
        <f>+AK39/AK38</f>
        <v>1.0860552849237777</v>
      </c>
      <c r="AF38" s="17"/>
      <c r="AG38" s="26"/>
      <c r="AH38" s="26"/>
      <c r="AI38" s="71" t="s">
        <v>1</v>
      </c>
      <c r="AJ38" s="165">
        <v>39903</v>
      </c>
      <c r="AK38" s="75">
        <v>191.563075</v>
      </c>
      <c r="AL38" s="75">
        <v>3.161</v>
      </c>
      <c r="AM38" s="166">
        <v>265.98416700000001</v>
      </c>
      <c r="AN38" s="166">
        <v>2240.72037</v>
      </c>
      <c r="AO38" s="22"/>
      <c r="AP38" s="22"/>
      <c r="BK38" s="683"/>
      <c r="BL38" s="683"/>
    </row>
    <row r="39" spans="1:64" ht="68.25" customHeight="1">
      <c r="A39" s="141" t="s">
        <v>172</v>
      </c>
      <c r="B39" s="97">
        <f>+Historico!N39</f>
        <v>1.0335000000000001</v>
      </c>
      <c r="C39" s="90">
        <f t="shared" si="8"/>
        <v>1.0148999999999999</v>
      </c>
      <c r="D39" s="539">
        <f t="shared" si="9"/>
        <v>-1.7997097242380411E-2</v>
      </c>
      <c r="F39" s="90">
        <f>IF(IF(ResumenIndicadores!$F$10="Ft-1",Factores!B39,Factores!C39)=0,"",IF(ResumenIndicadores!$F$10="Ft-1",Factores!B39,Factores!C39))</f>
        <v>1.0335000000000001</v>
      </c>
      <c r="G39" s="7"/>
      <c r="H39" s="118" t="s">
        <v>143</v>
      </c>
      <c r="I39" s="118" t="s">
        <v>144</v>
      </c>
      <c r="J39" s="120">
        <v>1</v>
      </c>
      <c r="K39" s="127"/>
      <c r="L39" s="127"/>
      <c r="M39" s="127"/>
      <c r="O39" s="122">
        <v>8</v>
      </c>
      <c r="P39" s="169">
        <v>0.26939999999999997</v>
      </c>
      <c r="Q39" s="169">
        <v>0.62909999999999999</v>
      </c>
      <c r="R39" s="169">
        <v>3.2300000000000002E-2</v>
      </c>
      <c r="S39" s="169">
        <v>6.9199999999999998E-2</v>
      </c>
      <c r="AC39" s="116"/>
      <c r="AD39" s="15" t="s">
        <v>163</v>
      </c>
      <c r="AE39" s="25">
        <f>+AM39/AM38</f>
        <v>1.3633800240448146</v>
      </c>
      <c r="AF39" s="17"/>
      <c r="AG39" s="26"/>
      <c r="AH39" s="26"/>
      <c r="AI39" s="72" t="s">
        <v>4</v>
      </c>
      <c r="AJ39" s="167">
        <f>+'IPM-TC-COBRE-ALUMINIO'!C6</f>
        <v>41152</v>
      </c>
      <c r="AK39" s="76">
        <f>+'IPM-TC-COBRE-ALUMINIO'!G6</f>
        <v>208.04809</v>
      </c>
      <c r="AL39" s="76">
        <f>+'IPM-TC-COBRE-ALUMINIO'!F6</f>
        <v>2.61</v>
      </c>
      <c r="AM39" s="160">
        <f>+'IPM-TC-COBRE-ALUMINIO'!E6</f>
        <v>362.63749999999999</v>
      </c>
      <c r="AN39" s="160">
        <f>+'IPM-TC-COBRE-ALUMINIO'!D6</f>
        <v>2110.2591538461538</v>
      </c>
      <c r="AO39" s="22"/>
      <c r="AP39" s="22"/>
      <c r="BK39" s="683"/>
      <c r="BL39" s="683"/>
    </row>
    <row r="40" spans="1:64">
      <c r="A40" s="141" t="s">
        <v>173</v>
      </c>
      <c r="B40" s="97">
        <f>+Historico!N40</f>
        <v>1.0275000000000001</v>
      </c>
      <c r="C40" s="90">
        <f t="shared" si="8"/>
        <v>1.0111000000000001</v>
      </c>
      <c r="D40" s="539">
        <f t="shared" si="9"/>
        <v>-1.5961070559610713E-2</v>
      </c>
      <c r="F40" s="90">
        <f>IF(IF(ResumenIndicadores!$F$10="Ft-1",Factores!B40,Factores!C40)=0,"",IF(ResumenIndicadores!$F$10="Ft-1",Factores!B40,Factores!C40))</f>
        <v>1.0275000000000001</v>
      </c>
      <c r="G40" s="7"/>
      <c r="O40" s="122">
        <v>9</v>
      </c>
      <c r="P40" s="169">
        <v>0.30159999999999998</v>
      </c>
      <c r="Q40" s="169">
        <v>0.62260000000000004</v>
      </c>
      <c r="R40" s="169">
        <v>3.4299999999999997E-2</v>
      </c>
      <c r="S40" s="169">
        <v>4.1500000000000002E-2</v>
      </c>
      <c r="AC40" s="205"/>
      <c r="AD40" s="15" t="s">
        <v>164</v>
      </c>
      <c r="AE40" s="25">
        <f>+AN39/AN38</f>
        <v>0.9417771097632115</v>
      </c>
      <c r="AF40" s="17"/>
      <c r="AG40" s="26"/>
      <c r="AH40" s="26"/>
      <c r="AJ40" s="83" t="s">
        <v>8</v>
      </c>
      <c r="AK40" s="54">
        <f>AK39/AK38-1</f>
        <v>8.6055284923777675E-2</v>
      </c>
      <c r="AL40" s="60">
        <f>AL39/AL38-1</f>
        <v>-0.17431192660550465</v>
      </c>
      <c r="AM40" s="81">
        <f>AM39/AM38-1</f>
        <v>0.36338002404481462</v>
      </c>
      <c r="AN40" s="81">
        <f>AN39/AN38-1</f>
        <v>-5.8222890236788505E-2</v>
      </c>
      <c r="AO40" s="12"/>
      <c r="AP40" s="12"/>
      <c r="BK40" s="683"/>
      <c r="BL40" s="683"/>
    </row>
    <row r="41" spans="1:64">
      <c r="A41" s="141" t="s">
        <v>174</v>
      </c>
      <c r="B41" s="97">
        <f>+Historico!N41</f>
        <v>1.0288999999999999</v>
      </c>
      <c r="C41" s="90">
        <f t="shared" si="8"/>
        <v>1.0123</v>
      </c>
      <c r="D41" s="539">
        <f t="shared" si="9"/>
        <v>-1.6133735056856779E-2</v>
      </c>
      <c r="F41" s="90">
        <f>IF(IF(ResumenIndicadores!$F$10="Ft-1",Factores!B41,Factores!C41)=0,"",IF(ResumenIndicadores!$F$10="Ft-1",Factores!B41,Factores!C41))</f>
        <v>1.0288999999999999</v>
      </c>
      <c r="G41" s="7"/>
      <c r="N41" s="170"/>
      <c r="O41" s="122">
        <v>10</v>
      </c>
      <c r="P41" s="169">
        <v>0.27150000000000002</v>
      </c>
      <c r="Q41" s="169">
        <v>0.65259999999999996</v>
      </c>
      <c r="R41" s="169">
        <v>1.8599999999999998E-2</v>
      </c>
      <c r="S41" s="169">
        <v>5.7299999999999997E-2</v>
      </c>
      <c r="V41" s="26"/>
      <c r="AB41" s="1"/>
      <c r="AC41" s="116"/>
      <c r="AF41" s="17"/>
      <c r="AG41" s="26"/>
      <c r="AH41" s="26"/>
      <c r="BK41" s="683"/>
      <c r="BL41" s="683"/>
    </row>
    <row r="42" spans="1:64">
      <c r="A42" s="141" t="s">
        <v>175</v>
      </c>
      <c r="B42" s="97">
        <f>+Historico!N42</f>
        <v>1.0432999999999999</v>
      </c>
      <c r="C42" s="90">
        <f t="shared" si="8"/>
        <v>1.028</v>
      </c>
      <c r="D42" s="539">
        <f t="shared" si="9"/>
        <v>-1.4665005271733755E-2</v>
      </c>
      <c r="F42" s="90">
        <f>IF(IF(ResumenIndicadores!$F$10="Ft-1",Factores!B42,Factores!C42)=0,"",IF(ResumenIndicadores!$F$10="Ft-1",Factores!B42,Factores!C42))</f>
        <v>1.0432999999999999</v>
      </c>
      <c r="G42" s="7"/>
      <c r="O42" s="122">
        <v>11</v>
      </c>
      <c r="P42" s="169">
        <v>0.2379</v>
      </c>
      <c r="Q42" s="169">
        <v>0.70209999999999995</v>
      </c>
      <c r="R42" s="169">
        <v>2.9700000000000001E-2</v>
      </c>
      <c r="S42" s="169">
        <v>3.0300000000000001E-2</v>
      </c>
      <c r="V42" s="26"/>
      <c r="Z42" s="7"/>
      <c r="AA42" s="7"/>
      <c r="AB42" s="34"/>
      <c r="AC42" s="116"/>
      <c r="AF42" s="17"/>
      <c r="AG42" s="26"/>
      <c r="AH42" s="26"/>
      <c r="AI42" s="1" t="s">
        <v>537</v>
      </c>
      <c r="AJ42" s="32"/>
      <c r="AK42" s="9"/>
      <c r="AL42" s="9"/>
      <c r="BK42" s="683"/>
      <c r="BL42" s="683"/>
    </row>
    <row r="43" spans="1:64">
      <c r="A43" s="141" t="s">
        <v>176</v>
      </c>
      <c r="B43" s="97">
        <f>+Historico!N43</f>
        <v>0.9748</v>
      </c>
      <c r="C43" s="90">
        <f t="shared" si="8"/>
        <v>0.9577</v>
      </c>
      <c r="D43" s="539">
        <f t="shared" si="9"/>
        <v>-1.7542059909725127E-2</v>
      </c>
      <c r="F43" s="90">
        <f>IF(IF(ResumenIndicadores!$F$10="Ft-1",Factores!B43,Factores!C43)=0,"",IF(ResumenIndicadores!$F$10="Ft-1",Factores!B43,Factores!C43))</f>
        <v>0.9748</v>
      </c>
      <c r="G43" s="7"/>
      <c r="H43" s="124" t="s">
        <v>155</v>
      </c>
      <c r="I43" s="124"/>
      <c r="J43" s="124"/>
      <c r="K43" s="124"/>
      <c r="L43" s="124"/>
      <c r="M43" s="124"/>
      <c r="O43" s="122">
        <v>12</v>
      </c>
      <c r="P43" s="169">
        <v>0.53039999999999998</v>
      </c>
      <c r="Q43" s="169">
        <v>0.38059999999999999</v>
      </c>
      <c r="R43" s="169">
        <v>5.3499999999999999E-2</v>
      </c>
      <c r="S43" s="169">
        <v>3.5499999999999997E-2</v>
      </c>
      <c r="V43" s="26"/>
      <c r="Z43" s="7"/>
      <c r="AA43" s="7"/>
      <c r="AB43" s="34"/>
      <c r="AC43" s="116"/>
      <c r="AF43" s="17"/>
      <c r="AG43" s="26"/>
      <c r="AH43" s="26"/>
      <c r="AI43" s="6" t="s">
        <v>538</v>
      </c>
      <c r="BK43" s="683"/>
      <c r="BL43" s="683"/>
    </row>
    <row r="44" spans="1:64">
      <c r="A44" s="141" t="s">
        <v>177</v>
      </c>
      <c r="B44" s="97">
        <f>+Historico!N44</f>
        <v>1.0370999999999999</v>
      </c>
      <c r="C44" s="90">
        <f t="shared" si="8"/>
        <v>1.0207999999999999</v>
      </c>
      <c r="D44" s="539">
        <f t="shared" si="9"/>
        <v>-1.5716902902323748E-2</v>
      </c>
      <c r="F44" s="90">
        <f>IF(IF(ResumenIndicadores!$F$10="Ft-1",Factores!B44,Factores!C44)=0,"",IF(ResumenIndicadores!$F$10="Ft-1",Factores!B44,Factores!C44))</f>
        <v>1.0370999999999999</v>
      </c>
      <c r="G44" s="7"/>
      <c r="H44" s="119" t="s">
        <v>139</v>
      </c>
      <c r="I44" s="118" t="s">
        <v>140</v>
      </c>
      <c r="J44" s="119" t="s">
        <v>2</v>
      </c>
      <c r="K44" s="119" t="s">
        <v>3</v>
      </c>
      <c r="L44" s="119" t="s">
        <v>138</v>
      </c>
      <c r="M44" s="119" t="s">
        <v>86</v>
      </c>
      <c r="O44" s="122">
        <v>13</v>
      </c>
      <c r="P44" s="123">
        <v>0.25459999999999999</v>
      </c>
      <c r="Q44" s="123">
        <v>0.67359999999999998</v>
      </c>
      <c r="R44" s="123">
        <v>2.7E-2</v>
      </c>
      <c r="S44" s="123">
        <v>4.48E-2</v>
      </c>
      <c r="T44" s="7"/>
      <c r="V44" s="26"/>
      <c r="X44" s="7"/>
      <c r="Y44" s="7"/>
      <c r="Z44" s="7"/>
      <c r="AA44" s="7"/>
      <c r="AB44" s="7"/>
      <c r="AC44" s="116"/>
      <c r="AF44" s="17"/>
      <c r="AG44" s="26"/>
      <c r="AH44" s="26"/>
      <c r="AI44" s="6"/>
      <c r="AJ44" s="32"/>
      <c r="AK44" s="9"/>
      <c r="AL44" s="9"/>
      <c r="BK44" s="683"/>
      <c r="BL44" s="683"/>
    </row>
    <row r="45" spans="1:64" ht="42" customHeight="1">
      <c r="A45" s="141" t="s">
        <v>178</v>
      </c>
      <c r="B45" s="97">
        <f>+Historico!N45</f>
        <v>1.0617000000000001</v>
      </c>
      <c r="C45" s="90">
        <f t="shared" si="8"/>
        <v>1.0452999999999999</v>
      </c>
      <c r="D45" s="539">
        <f t="shared" si="9"/>
        <v>-1.544692474333631E-2</v>
      </c>
      <c r="F45" s="90">
        <f>IF(IF(ResumenIndicadores!$F$10="Ft-1",Factores!B45,Factores!C45)=0,"",IF(ResumenIndicadores!$F$10="Ft-1",Factores!B45,Factores!C45))</f>
        <v>1.0617000000000001</v>
      </c>
      <c r="G45" s="7"/>
      <c r="H45" s="125" t="s">
        <v>146</v>
      </c>
      <c r="I45" s="118" t="s">
        <v>148</v>
      </c>
      <c r="J45" s="123">
        <v>0.59289999999999998</v>
      </c>
      <c r="K45" s="123">
        <v>0.40710000000000002</v>
      </c>
      <c r="L45" s="128"/>
      <c r="M45" s="128"/>
      <c r="O45" s="122">
        <v>14</v>
      </c>
      <c r="P45" s="169">
        <v>0.1973</v>
      </c>
      <c r="Q45" s="169">
        <v>0.7278</v>
      </c>
      <c r="R45" s="169">
        <v>5.0799999999999998E-2</v>
      </c>
      <c r="S45" s="169">
        <v>2.41E-2</v>
      </c>
      <c r="T45" s="7"/>
      <c r="V45" s="26"/>
      <c r="W45" s="7"/>
      <c r="X45" s="7"/>
      <c r="Y45" s="7"/>
      <c r="Z45" s="7"/>
      <c r="AA45" s="7"/>
      <c r="AB45" s="7"/>
      <c r="AC45" s="116"/>
      <c r="AF45" s="17"/>
      <c r="AG45" s="26"/>
      <c r="AH45" s="26"/>
      <c r="BK45" s="683"/>
      <c r="BL45" s="683"/>
    </row>
    <row r="46" spans="1:64" ht="77.25" customHeight="1">
      <c r="A46" s="141" t="s">
        <v>179</v>
      </c>
      <c r="B46" s="97">
        <f>+Historico!N46</f>
        <v>1.0065999999999999</v>
      </c>
      <c r="C46" s="90">
        <f t="shared" si="8"/>
        <v>0.98519999999999996</v>
      </c>
      <c r="D46" s="539">
        <f t="shared" si="9"/>
        <v>-2.1259686071925299E-2</v>
      </c>
      <c r="F46" s="90">
        <f>IF(IF(ResumenIndicadores!$F$10="Ft-1",Factores!B46,Factores!C46)=0,"",IF(ResumenIndicadores!$F$10="Ft-1",Factores!B46,Factores!C46))</f>
        <v>1.0065999999999999</v>
      </c>
      <c r="G46" s="7"/>
      <c r="H46" s="125" t="s">
        <v>147</v>
      </c>
      <c r="I46" s="118" t="s">
        <v>149</v>
      </c>
      <c r="J46" s="169">
        <v>0.39879999999999999</v>
      </c>
      <c r="K46" s="169">
        <v>0.47499999999999998</v>
      </c>
      <c r="L46" s="169">
        <v>0.1159</v>
      </c>
      <c r="M46" s="169">
        <v>1.03E-2</v>
      </c>
      <c r="O46" s="122">
        <v>15</v>
      </c>
      <c r="P46" s="123">
        <v>0.31430000000000002</v>
      </c>
      <c r="Q46" s="123">
        <v>0.55189999999999995</v>
      </c>
      <c r="R46" s="123">
        <v>6.9999999999999999E-4</v>
      </c>
      <c r="S46" s="123">
        <v>0.1331</v>
      </c>
      <c r="T46" s="7"/>
      <c r="V46" s="26"/>
      <c r="W46" s="7"/>
      <c r="X46" s="7"/>
      <c r="Y46" s="7"/>
      <c r="Z46" s="7"/>
      <c r="AA46" s="19"/>
      <c r="AB46" s="7"/>
      <c r="AC46" s="116"/>
      <c r="AF46" s="17"/>
      <c r="AG46" s="26"/>
      <c r="AH46" s="26"/>
      <c r="AI46" s="6"/>
      <c r="AJ46" s="32"/>
      <c r="AK46" s="9"/>
      <c r="AL46" s="9"/>
      <c r="AM46" s="7"/>
      <c r="AN46" s="7"/>
      <c r="AO46" s="7"/>
      <c r="AP46" s="7"/>
      <c r="BK46" s="683"/>
      <c r="BL46" s="683"/>
    </row>
    <row r="47" spans="1:64">
      <c r="A47" s="141" t="s">
        <v>159</v>
      </c>
      <c r="B47" s="97">
        <f>+Historico!N47</f>
        <v>0.83550000000000002</v>
      </c>
      <c r="C47" s="90">
        <f>ROUND(SUMPRODUCT($P$28:$S$28,J38:M38),4)</f>
        <v>0.82569999999999999</v>
      </c>
      <c r="D47" s="539">
        <f t="shared" si="9"/>
        <v>-1.1729503291442289E-2</v>
      </c>
      <c r="F47" s="90">
        <f>IF(IF(ResumenIndicadores!$F$10="Ft-1",Factores!B47,Factores!C47)=0,"",IF(ResumenIndicadores!$F$10="Ft-1",Factores!B47,Factores!C47))</f>
        <v>0.83550000000000002</v>
      </c>
      <c r="G47" s="7"/>
      <c r="J47" s="7"/>
      <c r="N47" s="7"/>
      <c r="O47" s="7"/>
      <c r="P47" s="7"/>
      <c r="Q47" s="7"/>
      <c r="R47" s="7"/>
      <c r="S47" s="7"/>
      <c r="T47" s="7"/>
      <c r="U47" s="7"/>
      <c r="V47" s="7"/>
      <c r="Z47" s="7"/>
      <c r="AA47" s="19"/>
      <c r="AB47" s="7"/>
      <c r="AC47" s="116"/>
      <c r="AF47" s="17"/>
      <c r="AG47" s="26"/>
      <c r="AH47" s="26"/>
      <c r="AM47" s="7"/>
      <c r="AN47" s="7"/>
      <c r="AO47" s="7"/>
      <c r="AP47" s="7"/>
      <c r="BK47" s="683"/>
      <c r="BL47" s="683"/>
    </row>
    <row r="48" spans="1:64">
      <c r="A48" s="141" t="s">
        <v>160</v>
      </c>
      <c r="B48" s="97">
        <f>+Historico!N48</f>
        <v>0.83550000000000002</v>
      </c>
      <c r="C48" s="90">
        <f>ROUND(SUMPRODUCT($P$28:$S$28,J39:M39),4)</f>
        <v>0.82569999999999999</v>
      </c>
      <c r="D48" s="539">
        <f t="shared" si="9"/>
        <v>-1.1729503291442289E-2</v>
      </c>
      <c r="F48" s="90">
        <f>IF(IF(ResumenIndicadores!$F$10="Ft-1",Factores!B48,Factores!C48)=0,"",IF(ResumenIndicadores!$F$10="Ft-1",Factores!B48,Factores!C48))</f>
        <v>0.83550000000000002</v>
      </c>
      <c r="G48" s="7"/>
      <c r="H48" s="124" t="s">
        <v>534</v>
      </c>
      <c r="I48" s="607"/>
      <c r="J48" s="607"/>
      <c r="K48" s="607"/>
      <c r="L48" s="607"/>
      <c r="M48" s="607"/>
      <c r="N48" s="7"/>
      <c r="O48" s="7"/>
      <c r="P48" s="7"/>
      <c r="Q48" s="7"/>
      <c r="R48" s="7"/>
      <c r="S48" s="7"/>
      <c r="T48" s="7"/>
      <c r="Z48" s="7"/>
      <c r="AA48" s="19"/>
      <c r="AB48" s="7"/>
      <c r="AC48" s="116"/>
      <c r="AF48" s="17"/>
      <c r="AG48" s="26"/>
      <c r="AH48" s="26"/>
      <c r="AI48" s="6"/>
      <c r="AJ48" s="32"/>
      <c r="AK48" s="9"/>
      <c r="AL48" s="9"/>
      <c r="AM48" s="7"/>
      <c r="AN48" s="7"/>
      <c r="AO48" s="7"/>
      <c r="AP48" s="7"/>
      <c r="BK48" s="683"/>
      <c r="BL48" s="683"/>
    </row>
    <row r="49" spans="1:64">
      <c r="A49" s="141" t="s">
        <v>150</v>
      </c>
      <c r="B49" s="97">
        <f>+Historico!N49</f>
        <v>0.94199999999999995</v>
      </c>
      <c r="C49" s="90">
        <f>ROUND(SUMPRODUCT($P$28:$S$28,J45:M45),4)</f>
        <v>0.93169999999999997</v>
      </c>
      <c r="D49" s="539">
        <f t="shared" si="9"/>
        <v>-1.0934182590233488E-2</v>
      </c>
      <c r="F49" s="90">
        <f>IF(IF(ResumenIndicadores!$F$10="Ft-1",Factores!B49,Factores!C49)=0,"",IF(ResumenIndicadores!$F$10="Ft-1",Factores!B49,Factores!C49))</f>
        <v>0.94199999999999995</v>
      </c>
      <c r="G49" s="7"/>
      <c r="H49" s="608" t="s">
        <v>139</v>
      </c>
      <c r="I49" s="609" t="s">
        <v>140</v>
      </c>
      <c r="J49" s="608" t="s">
        <v>2</v>
      </c>
      <c r="K49" s="608" t="s">
        <v>3</v>
      </c>
      <c r="L49" s="608" t="s">
        <v>138</v>
      </c>
      <c r="M49" s="608" t="s">
        <v>86</v>
      </c>
      <c r="N49" s="7"/>
      <c r="O49" s="7"/>
      <c r="P49" s="7"/>
      <c r="Q49" s="7"/>
      <c r="R49" s="7"/>
      <c r="T49" s="7"/>
      <c r="U49" s="7"/>
      <c r="V49" s="7"/>
      <c r="Z49" s="7"/>
      <c r="AA49" s="10"/>
      <c r="AB49" s="7"/>
      <c r="AC49" s="116"/>
      <c r="AF49" s="17"/>
      <c r="AG49" s="26"/>
      <c r="AH49" s="26"/>
      <c r="AM49" s="7"/>
      <c r="AN49" s="7"/>
      <c r="AO49" s="7"/>
      <c r="AP49" s="7"/>
      <c r="BK49" s="683"/>
      <c r="BL49" s="683"/>
    </row>
    <row r="50" spans="1:64">
      <c r="A50" s="141" t="s">
        <v>151</v>
      </c>
      <c r="B50" s="97">
        <f>+Historico!N50</f>
        <v>1.0326</v>
      </c>
      <c r="C50" s="90">
        <f t="shared" ref="C50" si="10">ROUND(SUMPRODUCT($P$28:$S$28,J46:M46),4)</f>
        <v>1.0128999999999999</v>
      </c>
      <c r="D50" s="539">
        <f t="shared" ref="D50:D51" si="11">+C50/B50-1</f>
        <v>-1.907805539415075E-2</v>
      </c>
      <c r="F50" s="90">
        <f>IF(IF(ResumenIndicadores!$F$10="Ft-1",Factores!B50,Factores!C50)=0,"",IF(ResumenIndicadores!$F$10="Ft-1",Factores!B50,Factores!C50))</f>
        <v>1.0326</v>
      </c>
      <c r="G50" s="7"/>
      <c r="H50" s="610" t="s">
        <v>535</v>
      </c>
      <c r="I50" s="611" t="s">
        <v>518</v>
      </c>
      <c r="J50" s="612">
        <v>1</v>
      </c>
      <c r="K50" s="613"/>
      <c r="L50" s="613"/>
      <c r="M50" s="613"/>
      <c r="N50" s="7"/>
      <c r="O50" s="7"/>
      <c r="P50" s="7"/>
      <c r="Q50" s="7"/>
      <c r="R50" s="7"/>
      <c r="T50" s="11"/>
      <c r="U50" s="7"/>
      <c r="V50" s="7"/>
      <c r="Z50" s="7"/>
      <c r="AA50" s="10"/>
      <c r="AB50" s="10"/>
      <c r="AC50" s="116"/>
      <c r="AF50" s="17"/>
      <c r="AG50" s="26"/>
      <c r="AH50" s="26"/>
      <c r="AI50" s="6"/>
      <c r="AJ50" s="32"/>
      <c r="AK50" s="9"/>
      <c r="AL50" s="9"/>
      <c r="AM50" s="7"/>
      <c r="AN50" s="7"/>
      <c r="AO50" s="7"/>
      <c r="AP50" s="7"/>
      <c r="BK50" s="683"/>
      <c r="BL50" s="683"/>
    </row>
    <row r="51" spans="1:64">
      <c r="A51" s="282" t="s">
        <v>541</v>
      </c>
      <c r="B51" s="283">
        <f>+Historico!N51</f>
        <v>0.83550000000000002</v>
      </c>
      <c r="C51" s="91">
        <f>ROUND(SUMPRODUCT($P$28:$S$28,J50:M50),4)</f>
        <v>0.82569999999999999</v>
      </c>
      <c r="D51" s="540">
        <f t="shared" si="11"/>
        <v>-1.1729503291442289E-2</v>
      </c>
      <c r="F51" s="91">
        <f>IF(IF(ResumenIndicadores!$F$10="Ft-1",Factores!B51,Factores!C51)=0,"",IF(ResumenIndicadores!$F$10="Ft-1",Factores!B51,Factores!C51))</f>
        <v>0.83550000000000002</v>
      </c>
      <c r="G51" s="7"/>
      <c r="H51" s="7"/>
      <c r="I51" s="7"/>
      <c r="J51" s="7"/>
      <c r="N51" s="7"/>
      <c r="O51" s="7"/>
      <c r="P51" s="7"/>
      <c r="Q51" s="7"/>
      <c r="R51" s="7"/>
      <c r="T51" s="7"/>
      <c r="U51" s="7"/>
      <c r="V51" s="7"/>
      <c r="W51" s="7"/>
      <c r="X51" s="19"/>
      <c r="Y51" s="10"/>
      <c r="Z51" s="7"/>
      <c r="AA51" s="7"/>
      <c r="AB51" s="7"/>
      <c r="AC51" s="116"/>
      <c r="AF51" s="17"/>
      <c r="AG51" s="26"/>
      <c r="AH51" s="26"/>
      <c r="AM51" s="7"/>
      <c r="AN51" s="7"/>
      <c r="AO51" s="7"/>
      <c r="AP51" s="7"/>
      <c r="BK51" s="683"/>
      <c r="BL51" s="683"/>
    </row>
    <row r="52" spans="1:64">
      <c r="A52" s="134" t="s">
        <v>157</v>
      </c>
      <c r="B52" s="92" t="str">
        <f>+Historico!N52</f>
        <v/>
      </c>
      <c r="C52" s="89"/>
      <c r="D52" s="537"/>
      <c r="F52" s="89" t="str">
        <f>IF(IF(ResumenIndicadores!$F$11="Ft-1",Factores!B52,Factores!C52)=0,"",IF(ResumenIndicadores!$F$11="Ft-1",Factores!B52,Factores!C52))</f>
        <v/>
      </c>
      <c r="G52" s="11"/>
      <c r="H52" s="7"/>
      <c r="I52" s="7"/>
      <c r="J52" s="7"/>
      <c r="N52" s="7"/>
      <c r="O52" s="7"/>
      <c r="P52" s="7"/>
      <c r="Q52" s="7"/>
      <c r="R52" s="7"/>
      <c r="T52" s="7"/>
      <c r="U52" s="7"/>
      <c r="V52" s="7"/>
      <c r="W52" s="7"/>
      <c r="X52" s="19"/>
      <c r="Y52" s="10"/>
      <c r="Z52" s="7"/>
      <c r="AA52" s="7"/>
      <c r="AB52" s="7"/>
      <c r="AC52" s="116"/>
      <c r="AF52" s="17"/>
      <c r="AG52" s="26"/>
      <c r="AH52" s="26"/>
      <c r="AI52" s="6"/>
      <c r="AJ52" s="32"/>
      <c r="AK52" s="9"/>
      <c r="AL52" s="9"/>
      <c r="AM52" s="11"/>
      <c r="AN52" s="11"/>
      <c r="AO52" s="11"/>
      <c r="AP52" s="11"/>
      <c r="BK52" s="683"/>
      <c r="BL52" s="683"/>
    </row>
    <row r="53" spans="1:64" ht="26.25">
      <c r="A53" s="134" t="s">
        <v>42</v>
      </c>
      <c r="B53" s="92" t="str">
        <f>+Historico!N53</f>
        <v/>
      </c>
      <c r="C53" s="89"/>
      <c r="D53" s="136"/>
      <c r="F53" s="89" t="str">
        <f>IF(IF(ResumenIndicadores!$F$11="Ft-1",Factores!B53,Factores!C53)=0,"",IF(ResumenIndicadores!$F$11="Ft-1",Factores!B53,Factores!C53))</f>
        <v/>
      </c>
      <c r="G53" s="5"/>
      <c r="H53" s="519" t="s">
        <v>449</v>
      </c>
      <c r="I53" s="5"/>
      <c r="J53" s="5"/>
      <c r="K53" s="7"/>
      <c r="L53" s="7"/>
      <c r="M53" s="10"/>
      <c r="N53" s="7"/>
      <c r="O53" s="7"/>
      <c r="P53" s="7"/>
      <c r="Q53" s="7"/>
      <c r="R53" s="7"/>
      <c r="T53" s="7"/>
      <c r="U53" s="7"/>
      <c r="V53" s="7"/>
      <c r="W53" s="7"/>
      <c r="X53" s="19"/>
      <c r="Y53" s="10"/>
      <c r="Z53" s="10"/>
      <c r="AA53" s="7"/>
      <c r="AB53" s="7"/>
      <c r="AC53" s="116"/>
      <c r="AD53" s="519" t="s">
        <v>452</v>
      </c>
      <c r="AE53" s="32"/>
      <c r="AF53" s="9"/>
      <c r="AG53" s="9"/>
      <c r="AI53" s="5"/>
      <c r="AJ53" s="5"/>
      <c r="AK53" s="5"/>
      <c r="AL53" s="5"/>
      <c r="AM53" s="5"/>
      <c r="AN53" s="7"/>
      <c r="AO53" s="7"/>
      <c r="AP53" s="7"/>
      <c r="BK53" s="683"/>
      <c r="BL53" s="683"/>
    </row>
    <row r="54" spans="1:64">
      <c r="A54" s="130" t="s">
        <v>43</v>
      </c>
      <c r="B54" s="93">
        <f>+Historico!N54</f>
        <v>0.99229999999999996</v>
      </c>
      <c r="C54" s="333">
        <f>ROUND(SUMPRODUCT(I57:I60,I74:I77),4)</f>
        <v>0.97750000000000004</v>
      </c>
      <c r="D54" s="539">
        <f t="shared" ref="D54:D63" si="12">+C54/B54-1</f>
        <v>-1.4914844301118557E-2</v>
      </c>
      <c r="F54" s="333">
        <f>IF(IF(ResumenIndicadores!$F$11="Ft-1",Factores!B54,Factores!C54)=0,"",IF(ResumenIndicadores!$F$11="Ft-1",Factores!B54,Factores!C54))</f>
        <v>0.97750000000000004</v>
      </c>
      <c r="G54" s="5"/>
      <c r="H54" s="163" t="s">
        <v>343</v>
      </c>
      <c r="I54" s="26"/>
      <c r="J54" s="144"/>
      <c r="K54" s="7"/>
      <c r="L54" s="7"/>
      <c r="M54" s="145"/>
      <c r="N54" s="7"/>
      <c r="O54" s="706" t="s">
        <v>196</v>
      </c>
      <c r="P54" s="707"/>
      <c r="Q54" s="707"/>
      <c r="R54" s="708"/>
      <c r="AB54" s="1"/>
      <c r="AC54" s="116"/>
      <c r="AE54" s="7"/>
      <c r="AF54" s="7"/>
      <c r="AI54" s="12"/>
      <c r="AJ54" s="7"/>
      <c r="AK54" s="7"/>
      <c r="AL54" s="7"/>
      <c r="AM54" s="7"/>
      <c r="BK54" s="683"/>
      <c r="BL54" s="683"/>
    </row>
    <row r="55" spans="1:64">
      <c r="A55" s="130" t="s">
        <v>44</v>
      </c>
      <c r="B55" s="93">
        <f>+Historico!N55</f>
        <v>1.0165999999999999</v>
      </c>
      <c r="C55" s="333">
        <f>ROUND(SUMPRODUCT(J57:J60,J74:J77),4)</f>
        <v>1.0044999999999999</v>
      </c>
      <c r="D55" s="539">
        <f t="shared" si="12"/>
        <v>-1.190241983080853E-2</v>
      </c>
      <c r="F55" s="333">
        <f>IF(IF(ResumenIndicadores!$F$11="Ft-1",Factores!B55,Factores!C55)=0,"",IF(ResumenIndicadores!$F$11="Ft-1",Factores!B55,Factores!C55))</f>
        <v>1.0044999999999999</v>
      </c>
      <c r="G55" s="7"/>
      <c r="H55" s="30"/>
      <c r="I55" s="159" t="s">
        <v>125</v>
      </c>
      <c r="J55" s="159" t="s">
        <v>126</v>
      </c>
      <c r="K55" s="159" t="s">
        <v>127</v>
      </c>
      <c r="L55" s="159" t="s">
        <v>128</v>
      </c>
      <c r="M55" s="159" t="s">
        <v>129</v>
      </c>
      <c r="N55" s="159" t="s">
        <v>130</v>
      </c>
      <c r="O55" s="692" t="s">
        <v>197</v>
      </c>
      <c r="P55" s="709"/>
      <c r="Q55" s="692" t="s">
        <v>199</v>
      </c>
      <c r="R55" s="693"/>
      <c r="AB55" s="1"/>
      <c r="AC55" s="205"/>
      <c r="AD55" s="116"/>
      <c r="AE55" s="116"/>
      <c r="AF55" s="116"/>
      <c r="AG55" s="116"/>
      <c r="AI55" s="336" t="s">
        <v>210</v>
      </c>
      <c r="AJ55" s="409"/>
      <c r="AK55" s="409"/>
      <c r="AO55" s="36" t="s">
        <v>111</v>
      </c>
      <c r="AP55" s="51"/>
      <c r="BK55" s="683"/>
      <c r="BL55" s="683"/>
    </row>
    <row r="56" spans="1:64">
      <c r="A56" s="130" t="s">
        <v>45</v>
      </c>
      <c r="B56" s="93">
        <f>+Historico!N56</f>
        <v>1.0205</v>
      </c>
      <c r="C56" s="333">
        <f>ROUND(SUMPRODUCT(K57:K60,K74:K77),4)</f>
        <v>1.0032000000000001</v>
      </c>
      <c r="D56" s="539">
        <f t="shared" si="12"/>
        <v>-1.6952474277314944E-2</v>
      </c>
      <c r="F56" s="333">
        <f>IF(IF(ResumenIndicadores!$F$11="Ft-1",Factores!B56,Factores!C56)=0,"",IF(ResumenIndicadores!$F$11="Ft-1",Factores!B56,Factores!C56))</f>
        <v>1.0032000000000001</v>
      </c>
      <c r="G56" s="7"/>
      <c r="H56" s="148"/>
      <c r="I56" s="160"/>
      <c r="J56" s="160"/>
      <c r="K56" s="160"/>
      <c r="L56" s="160"/>
      <c r="M56" s="160"/>
      <c r="N56" s="160"/>
      <c r="O56" s="160" t="s">
        <v>198</v>
      </c>
      <c r="P56" s="160" t="s">
        <v>195</v>
      </c>
      <c r="Q56" s="55" t="s">
        <v>198</v>
      </c>
      <c r="R56" s="55" t="s">
        <v>195</v>
      </c>
      <c r="AB56" s="1"/>
      <c r="AC56" s="116"/>
      <c r="AD56" s="116"/>
      <c r="AE56" s="116"/>
      <c r="AF56" s="116"/>
      <c r="AG56" s="116"/>
      <c r="AI56" s="4"/>
      <c r="AJ56" s="62" t="s">
        <v>10</v>
      </c>
      <c r="AK56" s="74" t="s">
        <v>0</v>
      </c>
      <c r="AL56" s="74" t="s">
        <v>11</v>
      </c>
      <c r="AM56" s="74" t="s">
        <v>92</v>
      </c>
      <c r="AN56" s="74" t="s">
        <v>93</v>
      </c>
      <c r="AO56" s="87" t="s">
        <v>109</v>
      </c>
      <c r="AP56" s="605" t="s">
        <v>110</v>
      </c>
      <c r="BK56" s="683"/>
      <c r="BL56" s="683"/>
    </row>
    <row r="57" spans="1:64">
      <c r="A57" s="130" t="s">
        <v>46</v>
      </c>
      <c r="B57" s="93">
        <f>+Historico!N57</f>
        <v>1.0127999999999999</v>
      </c>
      <c r="C57" s="333">
        <f>ROUND(SUMPRODUCT(L57:L60,L74:L77),4)</f>
        <v>1.0008999999999999</v>
      </c>
      <c r="D57" s="539">
        <f t="shared" si="12"/>
        <v>-1.1749605055292323E-2</v>
      </c>
      <c r="F57" s="333">
        <f>IF(IF(ResumenIndicadores!$F$11="Ft-1",Factores!B57,Factores!C57)=0,"",IF(ResumenIndicadores!$F$11="Ft-1",Factores!B57,Factores!C57))</f>
        <v>1.0008999999999999</v>
      </c>
      <c r="G57" s="7"/>
      <c r="H57" s="320" t="s">
        <v>99</v>
      </c>
      <c r="I57" s="321">
        <v>0.76970000000000005</v>
      </c>
      <c r="J57" s="322">
        <v>0.85719999999999996</v>
      </c>
      <c r="K57" s="322">
        <v>0.75339999999999996</v>
      </c>
      <c r="L57" s="322">
        <v>0.83650000000000002</v>
      </c>
      <c r="M57" s="322">
        <v>0.8609</v>
      </c>
      <c r="N57" s="322">
        <v>0.88019999999999998</v>
      </c>
      <c r="O57" s="322">
        <v>0.82420000000000004</v>
      </c>
      <c r="P57" s="322">
        <v>0.82720000000000005</v>
      </c>
      <c r="Q57" s="322">
        <v>0.82420000000000004</v>
      </c>
      <c r="R57" s="322">
        <v>0.82720000000000005</v>
      </c>
      <c r="AB57" s="1"/>
      <c r="AC57" s="116"/>
      <c r="AD57" s="116"/>
      <c r="AE57" s="116"/>
      <c r="AF57" s="116"/>
      <c r="AG57" s="116"/>
      <c r="AI57" s="71" t="s">
        <v>1</v>
      </c>
      <c r="AJ57" s="73">
        <v>39813</v>
      </c>
      <c r="AK57" s="75">
        <v>198.54096000000001</v>
      </c>
      <c r="AL57" s="117">
        <v>3.1419999999999999</v>
      </c>
      <c r="AM57" s="117">
        <v>315.51</v>
      </c>
      <c r="AN57" s="117">
        <v>2579.3200000000002</v>
      </c>
      <c r="AO57" s="88">
        <v>0.09</v>
      </c>
      <c r="AP57" s="88">
        <v>0</v>
      </c>
      <c r="BK57" s="683"/>
      <c r="BL57" s="683"/>
    </row>
    <row r="58" spans="1:64">
      <c r="A58" s="130" t="s">
        <v>47</v>
      </c>
      <c r="B58" s="93">
        <f>+Historico!N58</f>
        <v>1.0177</v>
      </c>
      <c r="C58" s="333">
        <f>ROUND(SUMPRODUCT(M57:M60,M74:M77),4)</f>
        <v>1.006</v>
      </c>
      <c r="D58" s="539">
        <f t="shared" si="12"/>
        <v>-1.1496511742163706E-2</v>
      </c>
      <c r="F58" s="333">
        <f>IF(IF(ResumenIndicadores!$F$11="Ft-1",Factores!B58,Factores!C58)=0,"",IF(ResumenIndicadores!$F$11="Ft-1",Factores!B58,Factores!C58))</f>
        <v>1.006</v>
      </c>
      <c r="G58" s="28"/>
      <c r="H58" s="320" t="s">
        <v>100</v>
      </c>
      <c r="I58" s="321">
        <v>6.7500000000000004E-2</v>
      </c>
      <c r="J58" s="322">
        <v>2.8400000000000002E-2</v>
      </c>
      <c r="K58" s="322">
        <v>2.53E-2</v>
      </c>
      <c r="L58" s="322">
        <v>6.4000000000000001E-2</v>
      </c>
      <c r="M58" s="322">
        <v>3.6299999999999999E-2</v>
      </c>
      <c r="N58" s="322">
        <v>3.7400000000000003E-2</v>
      </c>
      <c r="O58" s="322">
        <v>4.5400000000000003E-2</v>
      </c>
      <c r="P58" s="322">
        <v>4.4600000000000001E-2</v>
      </c>
      <c r="Q58" s="322">
        <v>4.5400000000000003E-2</v>
      </c>
      <c r="R58" s="322">
        <v>4.4600000000000001E-2</v>
      </c>
      <c r="AB58" s="1"/>
      <c r="AC58" s="116"/>
      <c r="AD58" s="116"/>
      <c r="AE58" s="116"/>
      <c r="AF58" s="116"/>
      <c r="AG58" s="116"/>
      <c r="AI58" s="72" t="s">
        <v>4</v>
      </c>
      <c r="AJ58" s="179">
        <f>+'IPM-TC-COBRE-ALUMINIO'!C6</f>
        <v>41152</v>
      </c>
      <c r="AK58" s="142">
        <f>+'IPM-TC-COBRE-ALUMINIO'!G6</f>
        <v>208.04809</v>
      </c>
      <c r="AL58" s="143">
        <f>+'IPM-TC-COBRE-ALUMINIO'!F6</f>
        <v>2.61</v>
      </c>
      <c r="AM58" s="143">
        <f>+'IPM-TC-COBRE-ALUMINIO'!E6</f>
        <v>362.63749999999999</v>
      </c>
      <c r="AN58" s="143">
        <f>+'IPM-TC-COBRE-ALUMINIO'!D6</f>
        <v>2110.2591538461538</v>
      </c>
      <c r="AO58" s="270">
        <v>0</v>
      </c>
      <c r="AP58" s="270">
        <v>0</v>
      </c>
      <c r="BK58" s="683"/>
      <c r="BL58" s="683"/>
    </row>
    <row r="59" spans="1:64">
      <c r="A59" s="130" t="s">
        <v>48</v>
      </c>
      <c r="B59" s="93">
        <f>+Historico!N59</f>
        <v>1.0239</v>
      </c>
      <c r="C59" s="333">
        <f>ROUND(SUMPRODUCT(N57:N60,N74:N77),4)</f>
        <v>1.0132000000000001</v>
      </c>
      <c r="D59" s="539">
        <f t="shared" si="12"/>
        <v>-1.0450239281179718E-2</v>
      </c>
      <c r="F59" s="333">
        <f>IF(IF(ResumenIndicadores!$F$11="Ft-1",Factores!B59,Factores!C59)=0,"",IF(ResumenIndicadores!$F$11="Ft-1",Factores!B59,Factores!C59))</f>
        <v>1.0132000000000001</v>
      </c>
      <c r="G59" s="28"/>
      <c r="H59" s="320" t="s">
        <v>101</v>
      </c>
      <c r="I59" s="321">
        <v>2.1600000000000001E-2</v>
      </c>
      <c r="J59" s="322">
        <v>2.5000000000000001E-2</v>
      </c>
      <c r="K59" s="322">
        <v>0.21529999999999999</v>
      </c>
      <c r="L59" s="322">
        <v>1.83E-2</v>
      </c>
      <c r="M59" s="322">
        <v>1.9800000000000002E-2</v>
      </c>
      <c r="N59" s="322">
        <v>1.9300000000000001E-2</v>
      </c>
      <c r="O59" s="322">
        <v>7.7999999999999996E-3</v>
      </c>
      <c r="P59" s="322">
        <v>7.7000000000000002E-3</v>
      </c>
      <c r="Q59" s="322">
        <v>7.7999999999999996E-3</v>
      </c>
      <c r="R59" s="322">
        <v>7.7000000000000002E-3</v>
      </c>
      <c r="AB59" s="1"/>
      <c r="AC59" s="116"/>
      <c r="AD59" s="116"/>
      <c r="AE59" s="116"/>
      <c r="AF59" s="116"/>
      <c r="AG59" s="116"/>
      <c r="AJ59" s="83" t="s">
        <v>8</v>
      </c>
      <c r="AK59" s="60">
        <f>+AK58/AK57-1</f>
        <v>4.7884980509815156E-2</v>
      </c>
      <c r="AL59" s="60">
        <f>+AL58/AL57-1</f>
        <v>-0.1693189051559516</v>
      </c>
      <c r="AM59" s="60">
        <f>+AM58/AM57-1</f>
        <v>0.14936927514183385</v>
      </c>
      <c r="AN59" s="60">
        <f>+AN58/AN57-1</f>
        <v>-0.18185446014990247</v>
      </c>
      <c r="AO59" s="60">
        <v>-0.25</v>
      </c>
      <c r="AP59" s="60">
        <v>-1</v>
      </c>
      <c r="BK59" s="683"/>
      <c r="BL59" s="683"/>
    </row>
    <row r="60" spans="1:64">
      <c r="A60" s="130" t="s">
        <v>200</v>
      </c>
      <c r="B60" s="93">
        <f>+Historico!N60</f>
        <v>1.0045999999999999</v>
      </c>
      <c r="C60" s="333">
        <f>ROUND(SUMPRODUCT(O57:O60,O74:O77),4)</f>
        <v>0.99150000000000005</v>
      </c>
      <c r="D60" s="539">
        <f t="shared" si="12"/>
        <v>-1.304001592673687E-2</v>
      </c>
      <c r="F60" s="333">
        <f>IF(IF(ResumenIndicadores!$F$11="Ft-1",Factores!B60,Factores!C60)=0,"",IF(ResumenIndicadores!$F$11="Ft-1",Factores!B60,Factores!C60))</f>
        <v>0.99150000000000005</v>
      </c>
      <c r="G60" s="7"/>
      <c r="H60" s="320" t="s">
        <v>102</v>
      </c>
      <c r="I60" s="321">
        <v>0.14119999999999999</v>
      </c>
      <c r="J60" s="322">
        <v>8.9399999999999993E-2</v>
      </c>
      <c r="K60" s="322">
        <v>6.0000000000000001E-3</v>
      </c>
      <c r="L60" s="322">
        <v>8.1199999999999994E-2</v>
      </c>
      <c r="M60" s="322">
        <v>8.3000000000000004E-2</v>
      </c>
      <c r="N60" s="322">
        <v>6.3100000000000003E-2</v>
      </c>
      <c r="O60" s="322">
        <v>0.1226</v>
      </c>
      <c r="P60" s="322">
        <v>0.1205</v>
      </c>
      <c r="Q60" s="322">
        <v>0.1226</v>
      </c>
      <c r="R60" s="322">
        <v>0.1205</v>
      </c>
      <c r="AB60" s="1"/>
      <c r="AC60" s="116"/>
      <c r="AD60" s="116"/>
      <c r="AE60" s="116"/>
      <c r="AF60" s="116"/>
      <c r="AG60" s="116"/>
      <c r="AI60" s="8"/>
      <c r="AJ60" s="10"/>
      <c r="AK60" s="52"/>
      <c r="AL60"/>
      <c r="AM60" s="10"/>
      <c r="AN60" s="10"/>
      <c r="AP60" s="57"/>
      <c r="BK60" s="683"/>
      <c r="BL60" s="683"/>
    </row>
    <row r="61" spans="1:64">
      <c r="A61" s="130" t="s">
        <v>201</v>
      </c>
      <c r="B61" s="93">
        <f>+Historico!N61</f>
        <v>1.0054000000000001</v>
      </c>
      <c r="C61" s="333">
        <f>ROUND(SUMPRODUCT(P57:P60,P74:P77),4)</f>
        <v>0.99250000000000005</v>
      </c>
      <c r="D61" s="539">
        <f t="shared" si="12"/>
        <v>-1.2830714143624466E-2</v>
      </c>
      <c r="F61" s="333">
        <f>IF(IF(ResumenIndicadores!$F$11="Ft-1",Factores!B61,Factores!C61)=0,"",IF(ResumenIndicadores!$F$11="Ft-1",Factores!B61,Factores!C61))</f>
        <v>0.99250000000000005</v>
      </c>
      <c r="G61" s="7"/>
      <c r="H61" s="150" t="s">
        <v>103</v>
      </c>
      <c r="I61" s="286">
        <v>0.78779999999999994</v>
      </c>
      <c r="J61" s="161">
        <v>0.81910000000000005</v>
      </c>
      <c r="K61" s="161">
        <v>0.78910000000000002</v>
      </c>
      <c r="L61" s="161">
        <v>0.7661</v>
      </c>
      <c r="M61" s="161">
        <v>0.75649999999999995</v>
      </c>
      <c r="N61" s="161">
        <v>0.71499999999999997</v>
      </c>
      <c r="O61" s="161">
        <v>0.70379999999999998</v>
      </c>
      <c r="P61" s="161">
        <v>0.76060000000000005</v>
      </c>
      <c r="Q61" s="161">
        <v>0.70379999999999998</v>
      </c>
      <c r="R61" s="161">
        <v>0.76060000000000005</v>
      </c>
      <c r="AB61" s="1"/>
      <c r="AC61" s="116"/>
      <c r="AD61" s="116"/>
      <c r="AE61" s="116"/>
      <c r="AF61" s="116"/>
      <c r="AG61" s="116"/>
      <c r="AI61" s="1" t="s">
        <v>98</v>
      </c>
      <c r="AK61" s="7"/>
      <c r="AL61"/>
      <c r="BK61" s="683"/>
      <c r="BL61" s="683"/>
    </row>
    <row r="62" spans="1:64">
      <c r="A62" s="130" t="s">
        <v>202</v>
      </c>
      <c r="B62" s="93">
        <f>+Historico!N62</f>
        <v>1.0045999999999999</v>
      </c>
      <c r="C62" s="333">
        <f>ROUND(SUMPRODUCT(Q57:Q60,Q74:Q77),4)</f>
        <v>0.99150000000000005</v>
      </c>
      <c r="D62" s="539">
        <f t="shared" si="12"/>
        <v>-1.304001592673687E-2</v>
      </c>
      <c r="F62" s="333">
        <f>IF(IF(ResumenIndicadores!$F$11="Ft-1",Factores!B62,Factores!C62)=0,"",IF(ResumenIndicadores!$F$11="Ft-1",Factores!B62,Factores!C62))</f>
        <v>0.99150000000000005</v>
      </c>
      <c r="G62" s="7"/>
      <c r="H62" s="150" t="s">
        <v>104</v>
      </c>
      <c r="I62" s="286">
        <v>8.5000000000000006E-2</v>
      </c>
      <c r="J62" s="161">
        <v>8.4199999999999997E-2</v>
      </c>
      <c r="K62" s="161">
        <v>8.2900000000000001E-2</v>
      </c>
      <c r="L62" s="161">
        <v>0.1235</v>
      </c>
      <c r="M62" s="161">
        <v>0.1203</v>
      </c>
      <c r="N62" s="161">
        <v>0.1812</v>
      </c>
      <c r="O62" s="161">
        <v>0.2278</v>
      </c>
      <c r="P62" s="161">
        <v>0.15770000000000001</v>
      </c>
      <c r="Q62" s="161">
        <v>0.2278</v>
      </c>
      <c r="R62" s="161">
        <v>0.15770000000000001</v>
      </c>
      <c r="AB62" s="1"/>
      <c r="AC62" s="116"/>
      <c r="AD62" s="116"/>
      <c r="AE62" s="116"/>
      <c r="AF62" s="116"/>
      <c r="AG62" s="116"/>
      <c r="AI62" s="4"/>
      <c r="AJ62" s="62" t="s">
        <v>10</v>
      </c>
      <c r="AK62" s="74" t="s">
        <v>0</v>
      </c>
      <c r="AL62" s="617" t="s">
        <v>515</v>
      </c>
      <c r="AM62" s="23"/>
      <c r="AN62" s="23"/>
      <c r="BK62" s="683"/>
      <c r="BL62" s="683"/>
    </row>
    <row r="63" spans="1:64">
      <c r="A63" s="130" t="s">
        <v>203</v>
      </c>
      <c r="B63" s="93">
        <f>+Historico!N63</f>
        <v>1.0054000000000001</v>
      </c>
      <c r="C63" s="333">
        <f>ROUND(SUMPRODUCT(R57:R60,R74:R77),4)</f>
        <v>0.99250000000000005</v>
      </c>
      <c r="D63" s="539">
        <f t="shared" si="12"/>
        <v>-1.2830714143624466E-2</v>
      </c>
      <c r="F63" s="333">
        <f>IF(IF(ResumenIndicadores!$F$11="Ft-1",Factores!B63,Factores!C63)=0,"",IF(ResumenIndicadores!$F$11="Ft-1",Factores!B63,Factores!C63))</f>
        <v>0.99250000000000005</v>
      </c>
      <c r="G63" s="7"/>
      <c r="H63" s="150" t="s">
        <v>105</v>
      </c>
      <c r="I63" s="286">
        <v>8.6999999999999994E-3</v>
      </c>
      <c r="J63" s="161">
        <v>1.8200000000000001E-2</v>
      </c>
      <c r="K63" s="161">
        <v>1.9400000000000001E-2</v>
      </c>
      <c r="L63" s="161">
        <v>1.0500000000000001E-2</v>
      </c>
      <c r="M63" s="161">
        <v>1.3100000000000001E-2</v>
      </c>
      <c r="N63" s="161">
        <v>8.6800000000000002E-2</v>
      </c>
      <c r="O63" s="161">
        <v>2.81E-2</v>
      </c>
      <c r="P63" s="161">
        <v>3.3599999999999998E-2</v>
      </c>
      <c r="Q63" s="161">
        <v>2.81E-2</v>
      </c>
      <c r="R63" s="161">
        <v>3.3599999999999998E-2</v>
      </c>
      <c r="AB63" s="1"/>
      <c r="AC63" s="116"/>
      <c r="AD63" s="116"/>
      <c r="AE63" s="116"/>
      <c r="AF63" s="116"/>
      <c r="AG63" s="116"/>
      <c r="AI63" s="71" t="s">
        <v>1</v>
      </c>
      <c r="AJ63" s="73">
        <v>38994</v>
      </c>
      <c r="AK63" s="75">
        <v>172.30137199999999</v>
      </c>
      <c r="AL63" s="618" t="s">
        <v>516</v>
      </c>
      <c r="AM63" s="5"/>
      <c r="AN63" s="5"/>
      <c r="AP63" s="24"/>
      <c r="AR63" s="24"/>
      <c r="BK63" s="683"/>
      <c r="BL63" s="683"/>
    </row>
    <row r="64" spans="1:64">
      <c r="A64" s="134" t="s">
        <v>49</v>
      </c>
      <c r="B64" s="92" t="str">
        <f>+Historico!N64</f>
        <v/>
      </c>
      <c r="C64" s="333"/>
      <c r="D64" s="539"/>
      <c r="F64" s="333" t="str">
        <f>IF(IF(ResumenIndicadores!$F$11="Ft-1",Factores!B64,Factores!C64)=0,"",IF(ResumenIndicadores!$F$11="Ft-1",Factores!B64,Factores!C64))</f>
        <v/>
      </c>
      <c r="H64" s="150" t="s">
        <v>106</v>
      </c>
      <c r="I64" s="286">
        <v>0.11849999999999999</v>
      </c>
      <c r="J64" s="161">
        <v>7.85E-2</v>
      </c>
      <c r="K64" s="161">
        <v>0.1086</v>
      </c>
      <c r="L64" s="161">
        <v>9.9900000000000003E-2</v>
      </c>
      <c r="M64" s="161">
        <v>0.1101</v>
      </c>
      <c r="N64" s="161">
        <v>1.7000000000000001E-2</v>
      </c>
      <c r="O64" s="161">
        <v>4.0300000000000002E-2</v>
      </c>
      <c r="P64" s="161">
        <v>4.8099999999999997E-2</v>
      </c>
      <c r="Q64" s="161">
        <v>4.0300000000000002E-2</v>
      </c>
      <c r="R64" s="161">
        <v>4.8099999999999997E-2</v>
      </c>
      <c r="AB64" s="1"/>
      <c r="AC64" s="116"/>
      <c r="AD64" s="116"/>
      <c r="AE64" s="116"/>
      <c r="AF64" s="116"/>
      <c r="AG64" s="116"/>
      <c r="AI64" s="72" t="s">
        <v>4</v>
      </c>
      <c r="AJ64" s="604" t="s">
        <v>513</v>
      </c>
      <c r="AK64" s="76">
        <f>'IPM-TC-COBRE-ALUMINIO'!H6</f>
        <v>207.550522</v>
      </c>
      <c r="AP64" s="147"/>
      <c r="AR64" s="147"/>
      <c r="BK64" s="683"/>
      <c r="BL64" s="683"/>
    </row>
    <row r="65" spans="1:64">
      <c r="A65" s="130" t="s">
        <v>43</v>
      </c>
      <c r="B65" s="93">
        <f>+Historico!N65</f>
        <v>0.99729999999999996</v>
      </c>
      <c r="C65" s="333">
        <f>ROUND(SUMPRODUCT(I61:I64,I80:I83),4)</f>
        <v>0.9839</v>
      </c>
      <c r="D65" s="539">
        <f t="shared" ref="D65:D74" si="13">+C65/B65-1</f>
        <v>-1.3436277950466202E-2</v>
      </c>
      <c r="F65" s="333">
        <f>IF(IF(ResumenIndicadores!$F$11="Ft-1",Factores!B65,Factores!C65)=0,"",IF(ResumenIndicadores!$F$11="Ft-1",Factores!B65,Factores!C65))</f>
        <v>0.9839</v>
      </c>
      <c r="H65" s="320" t="s">
        <v>185</v>
      </c>
      <c r="I65" s="321">
        <v>0.74960000000000004</v>
      </c>
      <c r="J65" s="322">
        <v>0.66610000000000003</v>
      </c>
      <c r="K65" s="322">
        <v>0.68200000000000005</v>
      </c>
      <c r="L65" s="322">
        <v>0.63739999999999997</v>
      </c>
      <c r="M65" s="322">
        <v>0.61680000000000001</v>
      </c>
      <c r="N65" s="322">
        <v>0.57940000000000003</v>
      </c>
      <c r="O65" s="322">
        <v>0.625</v>
      </c>
      <c r="P65" s="322">
        <v>0.63449999999999995</v>
      </c>
      <c r="Q65" s="322">
        <v>0.625</v>
      </c>
      <c r="R65" s="322">
        <v>0.63449999999999995</v>
      </c>
      <c r="AB65" s="1"/>
      <c r="AC65" s="116"/>
      <c r="AD65" s="116"/>
      <c r="AE65" s="116"/>
      <c r="AF65" s="116"/>
      <c r="AG65" s="116"/>
      <c r="AJ65" s="83" t="s">
        <v>8</v>
      </c>
      <c r="AK65" s="60">
        <f>+AK64/AK63-1</f>
        <v>0.20457846383254585</v>
      </c>
      <c r="BK65" s="683"/>
      <c r="BL65" s="683"/>
    </row>
    <row r="66" spans="1:64">
      <c r="A66" s="130" t="s">
        <v>44</v>
      </c>
      <c r="B66" s="93">
        <f>+Historico!N66</f>
        <v>1.0088999999999999</v>
      </c>
      <c r="C66" s="333">
        <f>ROUND(SUMPRODUCT(J61:J64,J80:J83),4)</f>
        <v>0.997</v>
      </c>
      <c r="D66" s="539">
        <f t="shared" si="13"/>
        <v>-1.1795024283873468E-2</v>
      </c>
      <c r="F66" s="333">
        <f>IF(IF(ResumenIndicadores!$F$11="Ft-1",Factores!B66,Factores!C66)=0,"",IF(ResumenIndicadores!$F$11="Ft-1",Factores!B66,Factores!C66))</f>
        <v>0.997</v>
      </c>
      <c r="H66" s="320" t="s">
        <v>186</v>
      </c>
      <c r="I66" s="321">
        <v>0.17760000000000001</v>
      </c>
      <c r="J66" s="322">
        <v>0.2346</v>
      </c>
      <c r="K66" s="322">
        <v>0.21790000000000001</v>
      </c>
      <c r="L66" s="322">
        <v>0.35560000000000003</v>
      </c>
      <c r="M66" s="322">
        <v>0.37480000000000002</v>
      </c>
      <c r="N66" s="322">
        <v>0.28110000000000002</v>
      </c>
      <c r="O66" s="322">
        <v>0.36680000000000001</v>
      </c>
      <c r="P66" s="322">
        <v>0.35749999999999998</v>
      </c>
      <c r="Q66" s="322">
        <v>0.36680000000000001</v>
      </c>
      <c r="R66" s="322">
        <v>0.35749999999999998</v>
      </c>
      <c r="AB66" s="1"/>
      <c r="AC66" s="205"/>
      <c r="AD66" s="116"/>
      <c r="AE66" s="116"/>
      <c r="AF66" s="116"/>
      <c r="AG66" s="116"/>
      <c r="AI66" s="7"/>
      <c r="AJ66" s="57"/>
      <c r="AK66" s="12"/>
      <c r="AL66" s="12"/>
      <c r="AM66" s="12"/>
      <c r="BK66" s="683"/>
      <c r="BL66" s="683"/>
    </row>
    <row r="67" spans="1:64">
      <c r="A67" s="130" t="s">
        <v>45</v>
      </c>
      <c r="B67" s="93">
        <f>+Historico!N67</f>
        <v>0.99929999999999997</v>
      </c>
      <c r="C67" s="333">
        <f>ROUND(SUMPRODUCT(K61:K64,K80:K83),4)</f>
        <v>0.9859</v>
      </c>
      <c r="D67" s="539">
        <f t="shared" si="13"/>
        <v>-1.3409386570599424E-2</v>
      </c>
      <c r="F67" s="333">
        <f>IF(IF(ResumenIndicadores!$F$11="Ft-1",Factores!B67,Factores!C67)=0,"",IF(ResumenIndicadores!$F$11="Ft-1",Factores!B67,Factores!C67))</f>
        <v>0.9859</v>
      </c>
      <c r="H67" s="320" t="s">
        <v>187</v>
      </c>
      <c r="I67" s="321">
        <v>7.2800000000000004E-2</v>
      </c>
      <c r="J67" s="322">
        <v>9.9299999999999999E-2</v>
      </c>
      <c r="K67" s="322">
        <v>0.10009999999999999</v>
      </c>
      <c r="L67" s="322">
        <v>7.0000000000000001E-3</v>
      </c>
      <c r="M67" s="322">
        <v>8.3999999999999995E-3</v>
      </c>
      <c r="N67" s="322">
        <v>0.13950000000000001</v>
      </c>
      <c r="O67" s="322">
        <v>8.2000000000000007E-3</v>
      </c>
      <c r="P67" s="322">
        <v>8.0000000000000002E-3</v>
      </c>
      <c r="Q67" s="322">
        <v>8.2000000000000007E-3</v>
      </c>
      <c r="R67" s="322">
        <v>8.0000000000000002E-3</v>
      </c>
      <c r="AB67" s="1"/>
      <c r="AC67" s="116"/>
      <c r="AD67" s="116"/>
      <c r="AE67" s="116"/>
      <c r="AF67" s="116"/>
      <c r="AG67" s="116"/>
      <c r="BK67" s="683"/>
      <c r="BL67" s="683"/>
    </row>
    <row r="68" spans="1:64">
      <c r="A68" s="130" t="s">
        <v>46</v>
      </c>
      <c r="B68" s="93">
        <f>+Historico!N68</f>
        <v>0.99439999999999995</v>
      </c>
      <c r="C68" s="333">
        <f>ROUND(SUMPRODUCT(L61:L64,L80:L83),4)</f>
        <v>0.98140000000000005</v>
      </c>
      <c r="D68" s="539">
        <f t="shared" si="13"/>
        <v>-1.3073209975864697E-2</v>
      </c>
      <c r="F68" s="333">
        <f>IF(IF(ResumenIndicadores!$F$11="Ft-1",Factores!B68,Factores!C68)=0,"",IF(ResumenIndicadores!$F$11="Ft-1",Factores!B68,Factores!C68))</f>
        <v>0.98140000000000005</v>
      </c>
      <c r="H68" s="323" t="s">
        <v>208</v>
      </c>
      <c r="I68" s="324">
        <v>0</v>
      </c>
      <c r="J68" s="325">
        <v>0</v>
      </c>
      <c r="K68" s="325">
        <v>0</v>
      </c>
      <c r="L68" s="325">
        <v>0</v>
      </c>
      <c r="M68" s="325">
        <v>0</v>
      </c>
      <c r="N68" s="325">
        <v>0</v>
      </c>
      <c r="O68" s="325">
        <v>0</v>
      </c>
      <c r="P68" s="325">
        <v>0</v>
      </c>
      <c r="Q68" s="325">
        <v>0</v>
      </c>
      <c r="R68" s="325">
        <v>0</v>
      </c>
      <c r="AB68" s="1"/>
      <c r="AC68" s="116"/>
      <c r="AD68" s="116"/>
      <c r="AE68" s="116"/>
      <c r="AF68" s="116"/>
      <c r="AG68" s="116"/>
      <c r="AI68" s="410" t="s">
        <v>181</v>
      </c>
      <c r="AJ68" s="411"/>
      <c r="AK68" s="409"/>
      <c r="AL68" s="409"/>
      <c r="BK68" s="683"/>
      <c r="BL68" s="683"/>
    </row>
    <row r="69" spans="1:64">
      <c r="A69" s="130" t="s">
        <v>47</v>
      </c>
      <c r="B69" s="93">
        <f>+Historico!N69</f>
        <v>0.99170000000000003</v>
      </c>
      <c r="C69" s="333">
        <f>ROUND(SUMPRODUCT(M61:M64,M80:M83),4)</f>
        <v>0.97799999999999998</v>
      </c>
      <c r="D69" s="539">
        <f t="shared" si="13"/>
        <v>-1.3814661692044039E-2</v>
      </c>
      <c r="F69" s="333">
        <f>IF(IF(ResumenIndicadores!$F$11="Ft-1",Factores!B69,Factores!C69)=0,"",IF(ResumenIndicadores!$F$11="Ft-1",Factores!B69,Factores!C69))</f>
        <v>0.97799999999999998</v>
      </c>
      <c r="H69" s="162" t="s">
        <v>205</v>
      </c>
      <c r="I69" s="164">
        <f t="shared" ref="I69:R69" si="14" xml:space="preserve"> FTCd*I96</f>
        <v>0.8306810948440484</v>
      </c>
      <c r="J69" s="164">
        <f t="shared" si="14"/>
        <v>0.8306810948440484</v>
      </c>
      <c r="K69" s="164">
        <f t="shared" si="14"/>
        <v>0.8306810948440484</v>
      </c>
      <c r="L69" s="164">
        <f t="shared" si="14"/>
        <v>0.8306810948440484</v>
      </c>
      <c r="M69" s="164">
        <f t="shared" si="14"/>
        <v>0.8306810948440484</v>
      </c>
      <c r="N69" s="164">
        <f t="shared" si="14"/>
        <v>0.8306810948440484</v>
      </c>
      <c r="O69" s="164">
        <f t="shared" si="14"/>
        <v>0.8306810948440484</v>
      </c>
      <c r="P69" s="164">
        <f t="shared" si="14"/>
        <v>0.8306810948440484</v>
      </c>
      <c r="Q69" s="164">
        <f t="shared" si="14"/>
        <v>0.8306810948440484</v>
      </c>
      <c r="R69" s="164">
        <f t="shared" si="14"/>
        <v>0.8306810948440484</v>
      </c>
      <c r="AB69" s="1"/>
      <c r="AC69" s="116"/>
      <c r="AD69" s="116"/>
      <c r="AE69" s="116"/>
      <c r="AF69" s="116"/>
      <c r="AG69" s="116"/>
      <c r="AI69" s="58" t="s">
        <v>94</v>
      </c>
      <c r="AJ69" s="21">
        <f>+AK58/AK57</f>
        <v>1.0478849805098152</v>
      </c>
      <c r="BK69" s="683"/>
      <c r="BL69" s="683"/>
    </row>
    <row r="70" spans="1:64">
      <c r="A70" s="130" t="s">
        <v>48</v>
      </c>
      <c r="B70" s="93">
        <f>+Historico!N70</f>
        <v>1.0009999999999999</v>
      </c>
      <c r="C70" s="333">
        <f>ROUND(SUMPRODUCT(N61:N64,N80:N83),4)</f>
        <v>0.98729999999999996</v>
      </c>
      <c r="D70" s="539">
        <f t="shared" si="13"/>
        <v>-1.3686313686313567E-2</v>
      </c>
      <c r="F70" s="333">
        <f>IF(IF(ResumenIndicadores!$F$11="Ft-1",Factores!B70,Factores!C70)=0,"",IF(ResumenIndicadores!$F$11="Ft-1",Factores!B70,Factores!C70))</f>
        <v>0.98729999999999996</v>
      </c>
      <c r="H70" s="162" t="s">
        <v>206</v>
      </c>
      <c r="I70" s="164">
        <f t="shared" ref="I70:R70" si="15" xml:space="preserve"> FTCd*I97</f>
        <v>0.83937832590706551</v>
      </c>
      <c r="J70" s="164">
        <f t="shared" si="15"/>
        <v>0.84553865690642915</v>
      </c>
      <c r="K70" s="164">
        <f t="shared" si="15"/>
        <v>0.84799581158497783</v>
      </c>
      <c r="L70" s="164">
        <f t="shared" si="15"/>
        <v>0.84927173774665821</v>
      </c>
      <c r="M70" s="164">
        <f t="shared" si="15"/>
        <v>0.84670493316359008</v>
      </c>
      <c r="N70" s="164">
        <f t="shared" si="15"/>
        <v>0.83138385105028634</v>
      </c>
      <c r="O70" s="164">
        <f t="shared" si="15"/>
        <v>0.83425966900063653</v>
      </c>
      <c r="P70" s="164">
        <f t="shared" si="15"/>
        <v>0.83686136218968799</v>
      </c>
      <c r="Q70" s="164">
        <f t="shared" si="15"/>
        <v>0.83425966900063653</v>
      </c>
      <c r="R70" s="164">
        <f t="shared" si="15"/>
        <v>0.83686136218968799</v>
      </c>
      <c r="AB70" s="1"/>
      <c r="AC70" s="116"/>
      <c r="AD70" s="116"/>
      <c r="AE70" s="116"/>
      <c r="AF70" s="116"/>
      <c r="AG70" s="116"/>
      <c r="AI70" s="59" t="s">
        <v>95</v>
      </c>
      <c r="AJ70" s="21">
        <f>+AL58/AL57</f>
        <v>0.8306810948440484</v>
      </c>
      <c r="BK70" s="683"/>
      <c r="BL70" s="683"/>
    </row>
    <row r="71" spans="1:64">
      <c r="A71" s="130" t="s">
        <v>200</v>
      </c>
      <c r="B71" s="93">
        <f>+Historico!N71</f>
        <v>0.9909</v>
      </c>
      <c r="C71" s="333">
        <f>ROUND(SUMPRODUCT(O61:O64,O80:O83),4)</f>
        <v>0.97829999999999995</v>
      </c>
      <c r="D71" s="539">
        <f t="shared" si="13"/>
        <v>-1.2715712988192629E-2</v>
      </c>
      <c r="F71" s="333">
        <f>IF(IF(ResumenIndicadores!$F$11="Ft-1",Factores!B71,Factores!C71)=0,"",IF(ResumenIndicadores!$F$11="Ft-1",Factores!B71,Factores!C71))</f>
        <v>0.97829999999999995</v>
      </c>
      <c r="H71" s="162" t="s">
        <v>207</v>
      </c>
      <c r="I71" s="164">
        <f t="shared" ref="I71:R71" si="16" xml:space="preserve"> FTCd*I98</f>
        <v>0.8306810948440484</v>
      </c>
      <c r="J71" s="164">
        <f t="shared" si="16"/>
        <v>0.8306810948440484</v>
      </c>
      <c r="K71" s="164">
        <f t="shared" si="16"/>
        <v>0.8306810948440484</v>
      </c>
      <c r="L71" s="164">
        <f t="shared" si="16"/>
        <v>0.8306810948440484</v>
      </c>
      <c r="M71" s="164">
        <f t="shared" si="16"/>
        <v>0.8306810948440484</v>
      </c>
      <c r="N71" s="164">
        <f t="shared" si="16"/>
        <v>0.8306810948440484</v>
      </c>
      <c r="O71" s="164">
        <f t="shared" si="16"/>
        <v>0.8306810948440484</v>
      </c>
      <c r="P71" s="164">
        <f t="shared" si="16"/>
        <v>0.8306810948440484</v>
      </c>
      <c r="Q71" s="164">
        <f t="shared" si="16"/>
        <v>0.8306810948440484</v>
      </c>
      <c r="R71" s="164">
        <f t="shared" si="16"/>
        <v>0.8306810948440484</v>
      </c>
      <c r="AB71" s="1"/>
      <c r="AC71" s="116"/>
      <c r="AD71" s="116"/>
      <c r="AE71" s="116"/>
      <c r="AF71" s="116"/>
      <c r="AG71" s="116"/>
      <c r="AI71" s="58" t="s">
        <v>96</v>
      </c>
      <c r="AJ71" s="21">
        <f>+AM58/AM57</f>
        <v>1.1493692751418338</v>
      </c>
      <c r="BK71" s="683"/>
      <c r="BL71" s="683"/>
    </row>
    <row r="72" spans="1:64">
      <c r="A72" s="130" t="s">
        <v>201</v>
      </c>
      <c r="B72" s="93">
        <f>+Historico!N72</f>
        <v>1.0019</v>
      </c>
      <c r="C72" s="333">
        <f>ROUND(SUMPRODUCT(P61:P64,P80:P83),4)</f>
        <v>0.98970000000000002</v>
      </c>
      <c r="D72" s="539">
        <f t="shared" si="13"/>
        <v>-1.2176863958478834E-2</v>
      </c>
      <c r="F72" s="333">
        <f>IF(IF(ResumenIndicadores!$F$11="Ft-1",Factores!B72,Factores!C72)=0,"",IF(ResumenIndicadores!$F$11="Ft-1",Factores!B72,Factores!C72))</f>
        <v>0.98970000000000002</v>
      </c>
      <c r="H72" s="1" t="s">
        <v>365</v>
      </c>
      <c r="AB72" s="1"/>
      <c r="AC72" s="116"/>
      <c r="AD72" s="116"/>
      <c r="AE72" s="116"/>
      <c r="AF72" s="116"/>
      <c r="AG72" s="116"/>
      <c r="AI72" s="59" t="s">
        <v>97</v>
      </c>
      <c r="AJ72" s="21">
        <f>+AN58/AN57</f>
        <v>0.81814553985009753</v>
      </c>
      <c r="BK72" s="683"/>
      <c r="BL72" s="683"/>
    </row>
    <row r="73" spans="1:64">
      <c r="A73" s="130" t="s">
        <v>202</v>
      </c>
      <c r="B73" s="93">
        <f>+Historico!N73</f>
        <v>0.9909</v>
      </c>
      <c r="C73" s="333">
        <f>ROUND(SUMPRODUCT(Q61:Q64,Q80:Q83),4)</f>
        <v>0.97829999999999995</v>
      </c>
      <c r="D73" s="539">
        <f t="shared" si="13"/>
        <v>-1.2715712988192629E-2</v>
      </c>
      <c r="F73" s="333">
        <f>IF(IF(ResumenIndicadores!$F$11="Ft-1",Factores!B73,Factores!C73)=0,"",IF(ResumenIndicadores!$F$11="Ft-1",Factores!B73,Factores!C73))</f>
        <v>0.97829999999999995</v>
      </c>
      <c r="H73" s="59" t="s">
        <v>95</v>
      </c>
      <c r="I73" s="21">
        <f t="shared" ref="I73:R73" si="17">+FTCd</f>
        <v>0.8306810948440484</v>
      </c>
      <c r="J73" s="21">
        <f t="shared" si="17"/>
        <v>0.8306810948440484</v>
      </c>
      <c r="K73" s="21">
        <f t="shared" si="17"/>
        <v>0.8306810948440484</v>
      </c>
      <c r="L73" s="21">
        <f t="shared" si="17"/>
        <v>0.8306810948440484</v>
      </c>
      <c r="M73" s="21">
        <f t="shared" si="17"/>
        <v>0.8306810948440484</v>
      </c>
      <c r="N73" s="21">
        <f t="shared" si="17"/>
        <v>0.8306810948440484</v>
      </c>
      <c r="O73" s="21">
        <f t="shared" si="17"/>
        <v>0.8306810948440484</v>
      </c>
      <c r="P73" s="21">
        <f t="shared" si="17"/>
        <v>0.8306810948440484</v>
      </c>
      <c r="Q73" s="21">
        <f t="shared" si="17"/>
        <v>0.8306810948440484</v>
      </c>
      <c r="R73" s="21">
        <f t="shared" si="17"/>
        <v>0.8306810948440484</v>
      </c>
      <c r="AB73" s="1"/>
      <c r="AC73" s="116"/>
      <c r="AD73" s="116"/>
      <c r="AE73" s="116"/>
      <c r="AF73" s="116"/>
      <c r="AG73" s="116"/>
      <c r="AI73" s="58" t="s">
        <v>107</v>
      </c>
      <c r="AJ73" s="21">
        <f>+FTCd*(1+AO58)/(1+AO57)</f>
        <v>0.76209274756334711</v>
      </c>
      <c r="BK73" s="683"/>
      <c r="BL73" s="683"/>
    </row>
    <row r="74" spans="1:64">
      <c r="A74" s="130" t="s">
        <v>203</v>
      </c>
      <c r="B74" s="93">
        <f>+Historico!N74</f>
        <v>1.0019</v>
      </c>
      <c r="C74" s="333">
        <f>ROUND(SUMPRODUCT(R61:R64,R80:R83),4)</f>
        <v>0.98970000000000002</v>
      </c>
      <c r="D74" s="539">
        <f t="shared" si="13"/>
        <v>-1.2176863958478834E-2</v>
      </c>
      <c r="F74" s="333">
        <f>IF(IF(ResumenIndicadores!$F$11="Ft-1",Factores!B74,Factores!C74)=0,"",IF(ResumenIndicadores!$F$11="Ft-1",Factores!B74,Factores!C74))</f>
        <v>0.98970000000000002</v>
      </c>
      <c r="H74" s="58" t="s">
        <v>94</v>
      </c>
      <c r="I74" s="21">
        <f t="shared" ref="I74:R74" si="18">+FPMd</f>
        <v>1.0478849805098152</v>
      </c>
      <c r="J74" s="21">
        <f t="shared" si="18"/>
        <v>1.0478849805098152</v>
      </c>
      <c r="K74" s="21">
        <f t="shared" si="18"/>
        <v>1.0478849805098152</v>
      </c>
      <c r="L74" s="21">
        <f t="shared" si="18"/>
        <v>1.0478849805098152</v>
      </c>
      <c r="M74" s="21">
        <f t="shared" si="18"/>
        <v>1.0478849805098152</v>
      </c>
      <c r="N74" s="21">
        <f t="shared" si="18"/>
        <v>1.0478849805098152</v>
      </c>
      <c r="O74" s="21">
        <f t="shared" si="18"/>
        <v>1.0478849805098152</v>
      </c>
      <c r="P74" s="21">
        <f t="shared" si="18"/>
        <v>1.0478849805098152</v>
      </c>
      <c r="Q74" s="21">
        <f t="shared" si="18"/>
        <v>1.0478849805098152</v>
      </c>
      <c r="R74" s="21">
        <f t="shared" si="18"/>
        <v>1.0478849805098152</v>
      </c>
      <c r="AB74" s="1"/>
      <c r="AC74" s="116"/>
      <c r="AD74" s="116"/>
      <c r="AE74" s="116"/>
      <c r="AF74" s="116"/>
      <c r="AG74" s="116"/>
      <c r="AI74" s="58" t="s">
        <v>108</v>
      </c>
      <c r="AJ74" s="21">
        <f>+FTCd*(1+AP58)/(1+AP57)</f>
        <v>0.8306810948440484</v>
      </c>
      <c r="BK74" s="683"/>
      <c r="BL74" s="683"/>
    </row>
    <row r="75" spans="1:64">
      <c r="A75" s="134" t="s">
        <v>180</v>
      </c>
      <c r="B75" s="92" t="str">
        <f>+Historico!N75</f>
        <v/>
      </c>
      <c r="C75" s="333"/>
      <c r="D75" s="539"/>
      <c r="F75" s="333" t="str">
        <f>IF(IF(ResumenIndicadores!$F$11="Ft-1",Factores!B75,Factores!C75)=0,"",IF(ResumenIndicadores!$F$11="Ft-1",Factores!B75,Factores!C75))</f>
        <v/>
      </c>
      <c r="H75" s="59" t="s">
        <v>362</v>
      </c>
      <c r="I75" s="21">
        <f t="shared" ref="I75:R75" si="19">+I73*I96/I104</f>
        <v>0.8306810948440484</v>
      </c>
      <c r="J75" s="21">
        <f t="shared" si="19"/>
        <v>0.8306810948440484</v>
      </c>
      <c r="K75" s="21">
        <f t="shared" si="19"/>
        <v>0.8306810948440484</v>
      </c>
      <c r="L75" s="21">
        <f t="shared" si="19"/>
        <v>0.8306810948440484</v>
      </c>
      <c r="M75" s="21">
        <f t="shared" si="19"/>
        <v>0.8306810948440484</v>
      </c>
      <c r="N75" s="21">
        <f t="shared" si="19"/>
        <v>0.8306810948440484</v>
      </c>
      <c r="O75" s="21">
        <f t="shared" si="19"/>
        <v>0.8306810948440484</v>
      </c>
      <c r="P75" s="21">
        <f t="shared" si="19"/>
        <v>0.8306810948440484</v>
      </c>
      <c r="Q75" s="21">
        <f t="shared" si="19"/>
        <v>0.8306810948440484</v>
      </c>
      <c r="R75" s="21">
        <f t="shared" si="19"/>
        <v>0.8306810948440484</v>
      </c>
      <c r="AB75" s="1"/>
      <c r="AC75" s="116"/>
      <c r="AD75" s="116"/>
      <c r="AE75" s="116"/>
      <c r="AF75" s="116"/>
      <c r="AG75" s="116"/>
      <c r="BK75" s="683"/>
      <c r="BL75" s="683"/>
    </row>
    <row r="76" spans="1:64">
      <c r="A76" s="130" t="s">
        <v>43</v>
      </c>
      <c r="B76" s="93">
        <f>+Historico!N76</f>
        <v>1.0089999999999999</v>
      </c>
      <c r="C76" s="333">
        <f>ROUND(SUMPRODUCT(I65:I68,I86:I89),4)</f>
        <v>0.99680000000000002</v>
      </c>
      <c r="D76" s="539">
        <f t="shared" ref="D76:D88" si="20">+C76/B76-1</f>
        <v>-1.209117938553006E-2</v>
      </c>
      <c r="F76" s="333">
        <f>IF(IF(ResumenIndicadores!$F$11="Ft-1",Factores!B76,Factores!C76)=0,"",IF(ResumenIndicadores!$F$11="Ft-1",Factores!B76,Factores!C76))</f>
        <v>0.99680000000000002</v>
      </c>
      <c r="H76" s="316" t="s">
        <v>360</v>
      </c>
      <c r="I76" s="21">
        <f t="shared" ref="I76:R76" si="21">+IPCUd*DCUd</f>
        <v>0.87592598885773287</v>
      </c>
      <c r="J76" s="21">
        <f t="shared" si="21"/>
        <v>0.87592598885773287</v>
      </c>
      <c r="K76" s="21">
        <f t="shared" si="21"/>
        <v>0.87592598885773287</v>
      </c>
      <c r="L76" s="21">
        <f t="shared" si="21"/>
        <v>0.87592598885773287</v>
      </c>
      <c r="M76" s="21">
        <f t="shared" si="21"/>
        <v>0.87592598885773287</v>
      </c>
      <c r="N76" s="21">
        <f t="shared" si="21"/>
        <v>0.87592598885773287</v>
      </c>
      <c r="O76" s="21">
        <f t="shared" si="21"/>
        <v>0.87592598885773287</v>
      </c>
      <c r="P76" s="21">
        <f t="shared" si="21"/>
        <v>0.87592598885773287</v>
      </c>
      <c r="Q76" s="21">
        <f t="shared" si="21"/>
        <v>0.87592598885773287</v>
      </c>
      <c r="R76" s="21">
        <f t="shared" si="21"/>
        <v>0.87592598885773287</v>
      </c>
      <c r="AB76" s="1"/>
      <c r="AC76" s="116"/>
      <c r="AG76" s="1"/>
      <c r="BK76" s="683"/>
      <c r="BL76" s="683"/>
    </row>
    <row r="77" spans="1:64">
      <c r="A77" s="130" t="s">
        <v>44</v>
      </c>
      <c r="B77" s="93">
        <f>+Historico!N77</f>
        <v>0.99409999999999998</v>
      </c>
      <c r="C77" s="333">
        <f>ROUND(SUMPRODUCT(J65:J68,J86:J89),4)</f>
        <v>0.97989999999999999</v>
      </c>
      <c r="D77" s="539">
        <f t="shared" si="20"/>
        <v>-1.428427723569059E-2</v>
      </c>
      <c r="F77" s="333">
        <f>IF(IF(ResumenIndicadores!$F$11="Ft-1",Factores!B77,Factores!C77)=0,"",IF(ResumenIndicadores!$F$11="Ft-1",Factores!B77,Factores!C77))</f>
        <v>0.97989999999999999</v>
      </c>
      <c r="H77" s="316" t="s">
        <v>361</v>
      </c>
      <c r="I77" s="21">
        <f t="shared" ref="I77:R77" si="22">+IPALd*DALd</f>
        <v>0.67961803278445398</v>
      </c>
      <c r="J77" s="21">
        <f t="shared" si="22"/>
        <v>0.67961803278445398</v>
      </c>
      <c r="K77" s="21">
        <f t="shared" si="22"/>
        <v>0.67961803278445398</v>
      </c>
      <c r="L77" s="21">
        <f t="shared" si="22"/>
        <v>0.67961803278445398</v>
      </c>
      <c r="M77" s="21">
        <f t="shared" si="22"/>
        <v>0.67961803278445398</v>
      </c>
      <c r="N77" s="21">
        <f t="shared" si="22"/>
        <v>0.67961803278445398</v>
      </c>
      <c r="O77" s="21">
        <f t="shared" si="22"/>
        <v>0.67961803278445398</v>
      </c>
      <c r="P77" s="21">
        <f t="shared" si="22"/>
        <v>0.67961803278445398</v>
      </c>
      <c r="Q77" s="21">
        <f t="shared" si="22"/>
        <v>0.67961803278445398</v>
      </c>
      <c r="R77" s="21">
        <f t="shared" si="22"/>
        <v>0.67961803278445398</v>
      </c>
      <c r="AB77" s="1"/>
      <c r="AC77" s="205"/>
      <c r="AG77" s="1"/>
      <c r="BK77" s="683"/>
      <c r="BL77" s="683"/>
    </row>
    <row r="78" spans="1:64">
      <c r="A78" s="130" t="s">
        <v>45</v>
      </c>
      <c r="B78" s="93">
        <f>+Historico!N78</f>
        <v>0.99739999999999995</v>
      </c>
      <c r="C78" s="333">
        <f>ROUND(SUMPRODUCT(K65:K68,K86:K89),4)</f>
        <v>0.98329999999999995</v>
      </c>
      <c r="D78" s="539">
        <f t="shared" si="20"/>
        <v>-1.4136755564467585E-2</v>
      </c>
      <c r="F78" s="333">
        <f>IF(IF(ResumenIndicadores!$F$11="Ft-1",Factores!B78,Factores!C78)=0,"",IF(ResumenIndicadores!$F$11="Ft-1",Factores!B78,Factores!C78))</f>
        <v>0.98329999999999995</v>
      </c>
      <c r="H78" s="1" t="s">
        <v>366</v>
      </c>
      <c r="AB78" s="1"/>
      <c r="AC78" s="116"/>
      <c r="AG78" s="1"/>
      <c r="AI78" s="1" t="s">
        <v>98</v>
      </c>
      <c r="BK78" s="683"/>
      <c r="BL78" s="683"/>
    </row>
    <row r="79" spans="1:64">
      <c r="A79" s="130" t="s">
        <v>46</v>
      </c>
      <c r="B79" s="93">
        <f>+Historico!N79</f>
        <v>0.98080000000000001</v>
      </c>
      <c r="C79" s="333">
        <f>ROUND(SUMPRODUCT(L65:L68,L86:L89),4)</f>
        <v>0.96940000000000004</v>
      </c>
      <c r="D79" s="539">
        <f t="shared" si="20"/>
        <v>-1.1623164763458371E-2</v>
      </c>
      <c r="F79" s="333">
        <f>IF(IF(ResumenIndicadores!$F$11="Ft-1",Factores!B79,Factores!C79)=0,"",IF(ResumenIndicadores!$F$11="Ft-1",Factores!B79,Factores!C79))</f>
        <v>0.96940000000000004</v>
      </c>
      <c r="H79" s="59" t="s">
        <v>95</v>
      </c>
      <c r="I79" s="21">
        <f t="shared" ref="I79:R79" si="23">+FTCd</f>
        <v>0.8306810948440484</v>
      </c>
      <c r="J79" s="21">
        <f t="shared" si="23"/>
        <v>0.8306810948440484</v>
      </c>
      <c r="K79" s="21">
        <f t="shared" si="23"/>
        <v>0.8306810948440484</v>
      </c>
      <c r="L79" s="21">
        <f t="shared" si="23"/>
        <v>0.8306810948440484</v>
      </c>
      <c r="M79" s="21">
        <f t="shared" si="23"/>
        <v>0.8306810948440484</v>
      </c>
      <c r="N79" s="21">
        <f t="shared" si="23"/>
        <v>0.8306810948440484</v>
      </c>
      <c r="O79" s="21">
        <f t="shared" si="23"/>
        <v>0.8306810948440484</v>
      </c>
      <c r="P79" s="21">
        <f t="shared" si="23"/>
        <v>0.8306810948440484</v>
      </c>
      <c r="Q79" s="21">
        <f t="shared" si="23"/>
        <v>0.8306810948440484</v>
      </c>
      <c r="R79" s="21">
        <f t="shared" si="23"/>
        <v>0.8306810948440484</v>
      </c>
      <c r="AB79" s="1"/>
      <c r="AC79" s="116"/>
      <c r="AD79" s="116"/>
      <c r="AE79" s="116"/>
      <c r="AF79" s="116"/>
      <c r="AG79" s="116"/>
      <c r="AI79" s="58" t="s">
        <v>94</v>
      </c>
      <c r="AJ79" s="21">
        <f>+AK64/AK63</f>
        <v>1.2045784638325459</v>
      </c>
      <c r="BK79" s="683"/>
      <c r="BL79" s="683"/>
    </row>
    <row r="80" spans="1:64">
      <c r="A80" s="130" t="s">
        <v>47</v>
      </c>
      <c r="B80" s="93">
        <f>+Historico!N80</f>
        <v>0.97670000000000001</v>
      </c>
      <c r="C80" s="333">
        <f>ROUND(SUMPRODUCT(M65:M68,M86:M89),4)</f>
        <v>0.96499999999999997</v>
      </c>
      <c r="D80" s="539">
        <f t="shared" si="20"/>
        <v>-1.1979113340841674E-2</v>
      </c>
      <c r="F80" s="333">
        <f>IF(IF(ResumenIndicadores!$F$11="Ft-1",Factores!B80,Factores!C80)=0,"",IF(ResumenIndicadores!$F$11="Ft-1",Factores!B80,Factores!C80))</f>
        <v>0.96499999999999997</v>
      </c>
      <c r="H80" s="58" t="s">
        <v>94</v>
      </c>
      <c r="I80" s="21">
        <f t="shared" ref="I80:R80" si="24">+FPMd</f>
        <v>1.0478849805098152</v>
      </c>
      <c r="J80" s="21">
        <f t="shared" si="24"/>
        <v>1.0478849805098152</v>
      </c>
      <c r="K80" s="21">
        <f t="shared" si="24"/>
        <v>1.0478849805098152</v>
      </c>
      <c r="L80" s="21">
        <f t="shared" si="24"/>
        <v>1.0478849805098152</v>
      </c>
      <c r="M80" s="21">
        <f t="shared" si="24"/>
        <v>1.0478849805098152</v>
      </c>
      <c r="N80" s="21">
        <f t="shared" si="24"/>
        <v>1.0478849805098152</v>
      </c>
      <c r="O80" s="21">
        <f t="shared" si="24"/>
        <v>1.0478849805098152</v>
      </c>
      <c r="P80" s="21">
        <f t="shared" si="24"/>
        <v>1.0478849805098152</v>
      </c>
      <c r="Q80" s="21">
        <f t="shared" si="24"/>
        <v>1.0478849805098152</v>
      </c>
      <c r="R80" s="21">
        <f t="shared" si="24"/>
        <v>1.0478849805098152</v>
      </c>
      <c r="AB80" s="1"/>
      <c r="AC80" s="116"/>
      <c r="AD80" s="116"/>
      <c r="AE80" s="116"/>
      <c r="AF80" s="116"/>
      <c r="AG80" s="116"/>
      <c r="BK80" s="683"/>
      <c r="BL80" s="683"/>
    </row>
    <row r="81" spans="1:64">
      <c r="A81" s="130" t="s">
        <v>48</v>
      </c>
      <c r="B81" s="93">
        <f>+Historico!N81</f>
        <v>0.97960000000000003</v>
      </c>
      <c r="C81" s="333">
        <f>ROUND(SUMPRODUCT(N65:N68,N86:N89),4)</f>
        <v>0.96279999999999999</v>
      </c>
      <c r="D81" s="539">
        <f t="shared" si="20"/>
        <v>-1.7149857084524323E-2</v>
      </c>
      <c r="F81" s="333">
        <f>IF(IF(ResumenIndicadores!$F$11="Ft-1",Factores!B81,Factores!C81)=0,"",IF(ResumenIndicadores!$F$11="Ft-1",Factores!B81,Factores!C81))</f>
        <v>0.96279999999999999</v>
      </c>
      <c r="H81" s="59" t="s">
        <v>363</v>
      </c>
      <c r="I81" s="21">
        <f t="shared" ref="I81:R81" si="25">+I79*I97/I105</f>
        <v>0.82640378645964896</v>
      </c>
      <c r="J81" s="21">
        <f t="shared" si="25"/>
        <v>0.82346966975694313</v>
      </c>
      <c r="K81" s="21">
        <f t="shared" si="25"/>
        <v>0.82225910170171412</v>
      </c>
      <c r="L81" s="21">
        <f t="shared" si="25"/>
        <v>0.82166383295922807</v>
      </c>
      <c r="M81" s="21">
        <f t="shared" si="25"/>
        <v>0.82292247367439997</v>
      </c>
      <c r="N81" s="21">
        <f t="shared" si="25"/>
        <v>0.83030445525845031</v>
      </c>
      <c r="O81" s="21">
        <f t="shared" si="25"/>
        <v>0.82887200099417446</v>
      </c>
      <c r="P81" s="21">
        <f t="shared" si="25"/>
        <v>0.8275923281148021</v>
      </c>
      <c r="Q81" s="21">
        <f t="shared" si="25"/>
        <v>0.82887200099417446</v>
      </c>
      <c r="R81" s="21">
        <f t="shared" si="25"/>
        <v>0.8275923281148021</v>
      </c>
      <c r="AB81" s="1"/>
      <c r="AC81" s="116"/>
      <c r="AD81" s="116"/>
      <c r="AE81" s="116"/>
      <c r="AF81" s="116"/>
      <c r="AG81" s="116"/>
      <c r="BK81" s="683"/>
      <c r="BL81" s="683"/>
    </row>
    <row r="82" spans="1:64">
      <c r="A82" s="130" t="s">
        <v>200</v>
      </c>
      <c r="B82" s="93">
        <f>+Historico!N82</f>
        <v>0.97829999999999995</v>
      </c>
      <c r="C82" s="333">
        <f>ROUND(SUMPRODUCT(O65:O68,O86:O89),4)</f>
        <v>0.96679999999999999</v>
      </c>
      <c r="D82" s="539">
        <f t="shared" si="20"/>
        <v>-1.1755085352141426E-2</v>
      </c>
      <c r="F82" s="333">
        <f>IF(IF(ResumenIndicadores!$F$11="Ft-1",Factores!B82,Factores!C82)=0,"",IF(ResumenIndicadores!$F$11="Ft-1",Factores!B82,Factores!C82))</f>
        <v>0.96679999999999999</v>
      </c>
      <c r="H82" s="316" t="s">
        <v>360</v>
      </c>
      <c r="I82" s="21">
        <f t="shared" ref="I82:R82" si="26">+IPCUd*DCUd</f>
        <v>0.87592598885773287</v>
      </c>
      <c r="J82" s="21">
        <f t="shared" si="26"/>
        <v>0.87592598885773287</v>
      </c>
      <c r="K82" s="21">
        <f t="shared" si="26"/>
        <v>0.87592598885773287</v>
      </c>
      <c r="L82" s="21">
        <f t="shared" si="26"/>
        <v>0.87592598885773287</v>
      </c>
      <c r="M82" s="21">
        <f t="shared" si="26"/>
        <v>0.87592598885773287</v>
      </c>
      <c r="N82" s="21">
        <f t="shared" si="26"/>
        <v>0.87592598885773287</v>
      </c>
      <c r="O82" s="21">
        <f t="shared" si="26"/>
        <v>0.87592598885773287</v>
      </c>
      <c r="P82" s="21">
        <f t="shared" si="26"/>
        <v>0.87592598885773287</v>
      </c>
      <c r="Q82" s="21">
        <f t="shared" si="26"/>
        <v>0.87592598885773287</v>
      </c>
      <c r="R82" s="21">
        <f t="shared" si="26"/>
        <v>0.87592598885773287</v>
      </c>
      <c r="AB82" s="1"/>
      <c r="AC82" s="116"/>
      <c r="AD82" s="23"/>
      <c r="AE82" s="23"/>
      <c r="AF82" s="23"/>
      <c r="AG82" s="23"/>
      <c r="AI82" s="7"/>
      <c r="AJ82" s="7"/>
      <c r="AK82" s="7"/>
      <c r="AL82" s="7"/>
      <c r="AM82" s="7"/>
      <c r="AN82" s="7"/>
      <c r="AO82" s="7"/>
      <c r="BK82" s="683"/>
      <c r="BL82" s="683"/>
    </row>
    <row r="83" spans="1:64">
      <c r="A83" s="130" t="s">
        <v>201</v>
      </c>
      <c r="B83" s="93">
        <f>+Historico!N83</f>
        <v>0.98029999999999995</v>
      </c>
      <c r="C83" s="333">
        <f>ROUND(SUMPRODUCT(P65:P68,P86:P89),4)</f>
        <v>0.96889999999999998</v>
      </c>
      <c r="D83" s="539">
        <f t="shared" si="20"/>
        <v>-1.1629093134754687E-2</v>
      </c>
      <c r="F83" s="333">
        <f>IF(IF(ResumenIndicadores!$F$11="Ft-1",Factores!B83,Factores!C83)=0,"",IF(ResumenIndicadores!$F$11="Ft-1",Factores!B83,Factores!C83))</f>
        <v>0.96889999999999998</v>
      </c>
      <c r="H83" s="316" t="s">
        <v>361</v>
      </c>
      <c r="I83" s="21">
        <f t="shared" ref="I83:R83" si="27">+IPALd*DALd</f>
        <v>0.67961803278445398</v>
      </c>
      <c r="J83" s="21">
        <f t="shared" si="27"/>
        <v>0.67961803278445398</v>
      </c>
      <c r="K83" s="21">
        <f t="shared" si="27"/>
        <v>0.67961803278445398</v>
      </c>
      <c r="L83" s="21">
        <f t="shared" si="27"/>
        <v>0.67961803278445398</v>
      </c>
      <c r="M83" s="21">
        <f t="shared" si="27"/>
        <v>0.67961803278445398</v>
      </c>
      <c r="N83" s="21">
        <f t="shared" si="27"/>
        <v>0.67961803278445398</v>
      </c>
      <c r="O83" s="21">
        <f t="shared" si="27"/>
        <v>0.67961803278445398</v>
      </c>
      <c r="P83" s="21">
        <f t="shared" si="27"/>
        <v>0.67961803278445398</v>
      </c>
      <c r="Q83" s="21">
        <f t="shared" si="27"/>
        <v>0.67961803278445398</v>
      </c>
      <c r="R83" s="21">
        <f t="shared" si="27"/>
        <v>0.67961803278445398</v>
      </c>
      <c r="AB83" s="1"/>
      <c r="AC83" s="116"/>
      <c r="AD83" s="23"/>
      <c r="AE83" s="23"/>
      <c r="AF83" s="23"/>
      <c r="AG83" s="23"/>
      <c r="AI83" s="7"/>
      <c r="AJ83" s="7"/>
      <c r="AK83" s="7"/>
      <c r="AL83" s="7"/>
      <c r="AM83" s="7"/>
      <c r="AN83" s="7"/>
      <c r="AO83" s="7"/>
      <c r="BK83" s="683"/>
      <c r="BL83" s="683"/>
    </row>
    <row r="84" spans="1:64">
      <c r="A84" s="130" t="s">
        <v>202</v>
      </c>
      <c r="B84" s="93">
        <f>+Historico!N84</f>
        <v>0.97829999999999995</v>
      </c>
      <c r="C84" s="333">
        <f>ROUND(SUMPRODUCT(Q65:Q68,Q86:Q89),4)</f>
        <v>0.96679999999999999</v>
      </c>
      <c r="D84" s="539">
        <f t="shared" si="20"/>
        <v>-1.1755085352141426E-2</v>
      </c>
      <c r="F84" s="333">
        <f>IF(IF(ResumenIndicadores!$F$11="Ft-1",Factores!B84,Factores!C84)=0,"",IF(ResumenIndicadores!$F$11="Ft-1",Factores!B84,Factores!C84))</f>
        <v>0.96679999999999999</v>
      </c>
      <c r="H84" s="1" t="s">
        <v>367</v>
      </c>
      <c r="AB84" s="1"/>
      <c r="AC84" s="116"/>
      <c r="AD84" s="469" t="s">
        <v>10</v>
      </c>
      <c r="AE84" s="470" t="s">
        <v>406</v>
      </c>
      <c r="AF84" s="470" t="s">
        <v>0</v>
      </c>
      <c r="AG84" s="470" t="s">
        <v>407</v>
      </c>
      <c r="AH84" s="470" t="s">
        <v>116</v>
      </c>
      <c r="AI84" s="470" t="s">
        <v>408</v>
      </c>
      <c r="AJ84" s="470" t="s">
        <v>232</v>
      </c>
      <c r="AK84" s="470" t="s">
        <v>409</v>
      </c>
      <c r="AL84" s="7"/>
      <c r="AM84" s="7"/>
      <c r="AN84" s="7"/>
      <c r="AO84" s="7"/>
      <c r="BK84" s="683"/>
      <c r="BL84" s="683"/>
    </row>
    <row r="85" spans="1:64">
      <c r="A85" s="130" t="s">
        <v>203</v>
      </c>
      <c r="B85" s="93">
        <f>+Historico!N85</f>
        <v>0.98029999999999995</v>
      </c>
      <c r="C85" s="333">
        <f>ROUND(SUMPRODUCT(R65:R68,R86:R89),4)</f>
        <v>0.96889999999999998</v>
      </c>
      <c r="D85" s="539">
        <f t="shared" si="20"/>
        <v>-1.1629093134754687E-2</v>
      </c>
      <c r="F85" s="333">
        <f>IF(IF(ResumenIndicadores!$F$11="Ft-1",Factores!B85,Factores!C85)=0,"",IF(ResumenIndicadores!$F$11="Ft-1",Factores!B85,Factores!C85))</f>
        <v>0.96889999999999998</v>
      </c>
      <c r="H85" s="59" t="s">
        <v>95</v>
      </c>
      <c r="I85" s="21">
        <f t="shared" ref="I85:R85" si="28">+FTCd</f>
        <v>0.8306810948440484</v>
      </c>
      <c r="J85" s="21">
        <f t="shared" si="28"/>
        <v>0.8306810948440484</v>
      </c>
      <c r="K85" s="21">
        <f t="shared" si="28"/>
        <v>0.8306810948440484</v>
      </c>
      <c r="L85" s="21">
        <f t="shared" si="28"/>
        <v>0.8306810948440484</v>
      </c>
      <c r="M85" s="21">
        <f t="shared" si="28"/>
        <v>0.8306810948440484</v>
      </c>
      <c r="N85" s="21">
        <f t="shared" si="28"/>
        <v>0.8306810948440484</v>
      </c>
      <c r="O85" s="21">
        <f t="shared" si="28"/>
        <v>0.8306810948440484</v>
      </c>
      <c r="P85" s="21">
        <f t="shared" si="28"/>
        <v>0.8306810948440484</v>
      </c>
      <c r="Q85" s="21">
        <f t="shared" si="28"/>
        <v>0.8306810948440484</v>
      </c>
      <c r="R85" s="21">
        <f t="shared" si="28"/>
        <v>0.8306810948440484</v>
      </c>
      <c r="AB85" s="1"/>
      <c r="AC85" s="116"/>
      <c r="AD85" s="471" t="s">
        <v>119</v>
      </c>
      <c r="AE85" s="471">
        <v>2.7879999999999998</v>
      </c>
      <c r="AF85" s="471">
        <v>193.59641400000001</v>
      </c>
      <c r="AG85" s="471">
        <f>+AE85*(1+0%)</f>
        <v>2.7879999999999998</v>
      </c>
      <c r="AH85" s="472">
        <v>313.89999999999998</v>
      </c>
      <c r="AI85" s="472">
        <f>(1+9%)*AE85</f>
        <v>3.0389200000000001</v>
      </c>
      <c r="AJ85" s="472">
        <v>2060.02</v>
      </c>
      <c r="AK85" s="472">
        <f>+AE85*1</f>
        <v>2.7879999999999998</v>
      </c>
      <c r="AL85" s="7"/>
      <c r="AM85" s="7"/>
      <c r="AN85" s="7"/>
      <c r="AO85" s="7"/>
      <c r="BK85" s="683"/>
      <c r="BL85" s="683"/>
    </row>
    <row r="86" spans="1:64">
      <c r="A86" s="134" t="s">
        <v>209</v>
      </c>
      <c r="B86" s="93">
        <f>+Historico!N86</f>
        <v>1.0542</v>
      </c>
      <c r="C86" s="90">
        <f>ROUND(FPMd,4)</f>
        <v>1.0479000000000001</v>
      </c>
      <c r="D86" s="539">
        <f t="shared" si="20"/>
        <v>-5.9760956175298752E-3</v>
      </c>
      <c r="F86" s="90">
        <f>IF(IF(ResumenIndicadores!$F$11="Ft-1",Factores!B86,Factores!C86)=0,"",IF(ResumenIndicadores!$F$11="Ft-1",Factores!B86,Factores!C86))</f>
        <v>1.0479000000000001</v>
      </c>
      <c r="H86" s="58" t="s">
        <v>94</v>
      </c>
      <c r="I86" s="21">
        <f t="shared" ref="I86:R86" si="29">+FPMd</f>
        <v>1.0478849805098152</v>
      </c>
      <c r="J86" s="21">
        <f t="shared" si="29"/>
        <v>1.0478849805098152</v>
      </c>
      <c r="K86" s="21">
        <f t="shared" si="29"/>
        <v>1.0478849805098152</v>
      </c>
      <c r="L86" s="21">
        <f t="shared" si="29"/>
        <v>1.0478849805098152</v>
      </c>
      <c r="M86" s="21">
        <f t="shared" si="29"/>
        <v>1.0478849805098152</v>
      </c>
      <c r="N86" s="21">
        <f t="shared" si="29"/>
        <v>1.0478849805098152</v>
      </c>
      <c r="O86" s="21">
        <f t="shared" si="29"/>
        <v>1.0478849805098152</v>
      </c>
      <c r="P86" s="21">
        <f t="shared" si="29"/>
        <v>1.0478849805098152</v>
      </c>
      <c r="Q86" s="21">
        <f t="shared" si="29"/>
        <v>1.0478849805098152</v>
      </c>
      <c r="R86" s="21">
        <f t="shared" si="29"/>
        <v>1.0478849805098152</v>
      </c>
      <c r="AB86" s="1"/>
      <c r="AC86" s="116"/>
      <c r="AD86" s="473">
        <f>+'IPM-TC-COBRE-ALUMINIO'!C6</f>
        <v>41152</v>
      </c>
      <c r="AE86" s="474">
        <f>+'IPM-TC-COBRE-ALUMINIO'!F6</f>
        <v>2.61</v>
      </c>
      <c r="AF86" s="474">
        <f>+'IPM-TC-COBRE-ALUMINIO'!G6</f>
        <v>208.04809</v>
      </c>
      <c r="AG86" s="475">
        <f>+AE86*(1+0%)</f>
        <v>2.61</v>
      </c>
      <c r="AH86" s="476">
        <f>+'IPM-TC-COBRE-ALUMINIO'!E6</f>
        <v>362.63749999999999</v>
      </c>
      <c r="AI86" s="477">
        <f>(1+TA_VAD!D71)*AE86</f>
        <v>2.61</v>
      </c>
      <c r="AJ86" s="471">
        <f>+'IPM-TC-COBRE-ALUMINIO'!D6</f>
        <v>2110.2591538461538</v>
      </c>
      <c r="AK86" s="477">
        <f>+AE86*(1+TA_VAD!D72)</f>
        <v>2.61</v>
      </c>
      <c r="AL86" s="7"/>
      <c r="AM86" s="7"/>
      <c r="AN86" s="7"/>
      <c r="AO86" s="7"/>
      <c r="BK86" s="683"/>
      <c r="BL86" s="683"/>
    </row>
    <row r="87" spans="1:64">
      <c r="A87" s="140" t="s">
        <v>50</v>
      </c>
      <c r="B87" s="94">
        <f>+Historico!N87</f>
        <v>0.85009999999999997</v>
      </c>
      <c r="C87" s="91">
        <f>ROUND(FTCd,4)</f>
        <v>0.83069999999999999</v>
      </c>
      <c r="D87" s="139">
        <f t="shared" si="20"/>
        <v>-2.2820844606516899E-2</v>
      </c>
      <c r="E87" s="416"/>
      <c r="F87" s="91">
        <f>IF(IF(ResumenIndicadores!$F$11="Ft-1",Factores!B87,Factores!C87)=0,"",IF(ResumenIndicadores!$F$11="Ft-1",Factores!B87,Factores!C87))</f>
        <v>0.83069999999999999</v>
      </c>
      <c r="H87" s="59" t="s">
        <v>364</v>
      </c>
      <c r="I87" s="21">
        <f t="shared" ref="I87:R87" si="30">+I85*I98/I106</f>
        <v>0.8306810948440484</v>
      </c>
      <c r="J87" s="21">
        <f t="shared" si="30"/>
        <v>0.8306810948440484</v>
      </c>
      <c r="K87" s="21">
        <f t="shared" si="30"/>
        <v>0.8306810948440484</v>
      </c>
      <c r="L87" s="21">
        <f t="shared" si="30"/>
        <v>0.8306810948440484</v>
      </c>
      <c r="M87" s="21">
        <f t="shared" si="30"/>
        <v>0.8306810948440484</v>
      </c>
      <c r="N87" s="21">
        <f t="shared" si="30"/>
        <v>0.8306810948440484</v>
      </c>
      <c r="O87" s="21">
        <f t="shared" si="30"/>
        <v>0.8306810948440484</v>
      </c>
      <c r="P87" s="21">
        <f t="shared" si="30"/>
        <v>0.8306810948440484</v>
      </c>
      <c r="Q87" s="21">
        <f t="shared" si="30"/>
        <v>0.8306810948440484</v>
      </c>
      <c r="R87" s="21">
        <f t="shared" si="30"/>
        <v>0.8306810948440484</v>
      </c>
      <c r="AB87" s="1"/>
      <c r="AC87" s="116"/>
      <c r="AD87" s="478"/>
      <c r="AE87" s="479">
        <f>+AE86/AE85</f>
        <v>0.93615494978479197</v>
      </c>
      <c r="AF87" s="479">
        <f t="shared" ref="AF87:AK87" si="31">+AF86/AF85</f>
        <v>1.0746484694701008</v>
      </c>
      <c r="AG87" s="479">
        <f t="shared" si="31"/>
        <v>0.93615494978479197</v>
      </c>
      <c r="AH87" s="479">
        <f t="shared" si="31"/>
        <v>1.1552644154189233</v>
      </c>
      <c r="AI87" s="479">
        <f t="shared" si="31"/>
        <v>0.85885775209613935</v>
      </c>
      <c r="AJ87" s="479">
        <f t="shared" si="31"/>
        <v>1.0243877019864631</v>
      </c>
      <c r="AK87" s="479">
        <f t="shared" si="31"/>
        <v>0.93615494978479197</v>
      </c>
      <c r="AL87" s="7"/>
      <c r="AM87" s="7"/>
      <c r="AN87" s="7"/>
      <c r="AO87" s="7"/>
      <c r="BK87" s="683"/>
      <c r="BL87" s="683"/>
    </row>
    <row r="88" spans="1:64">
      <c r="A88" s="140" t="s">
        <v>545</v>
      </c>
      <c r="B88" s="94">
        <f>+Historico!N88</f>
        <v>1.2156</v>
      </c>
      <c r="C88" s="91">
        <f>ROUND(FPMprepagod,4)</f>
        <v>1.2045999999999999</v>
      </c>
      <c r="D88" s="139">
        <f t="shared" si="20"/>
        <v>-9.049029285949417E-3</v>
      </c>
      <c r="F88" s="91">
        <f>IF(IF(ResumenIndicadores!$F$11="Ft-1",Factores!B88,Factores!C88)=0,"",IF(ResumenIndicadores!$F$11="Ft-1",Factores!B88,Factores!C88))</f>
        <v>1.2045999999999999</v>
      </c>
      <c r="H88" s="316" t="s">
        <v>360</v>
      </c>
      <c r="I88" s="21">
        <f t="shared" ref="I88:R88" si="32">+IPCUd*DCUd</f>
        <v>0.87592598885773287</v>
      </c>
      <c r="J88" s="21">
        <f t="shared" si="32"/>
        <v>0.87592598885773287</v>
      </c>
      <c r="K88" s="21">
        <f t="shared" si="32"/>
        <v>0.87592598885773287</v>
      </c>
      <c r="L88" s="21">
        <f t="shared" si="32"/>
        <v>0.87592598885773287</v>
      </c>
      <c r="M88" s="21">
        <f t="shared" si="32"/>
        <v>0.87592598885773287</v>
      </c>
      <c r="N88" s="21">
        <f t="shared" si="32"/>
        <v>0.87592598885773287</v>
      </c>
      <c r="O88" s="21">
        <f t="shared" si="32"/>
        <v>0.87592598885773287</v>
      </c>
      <c r="P88" s="21">
        <f t="shared" si="32"/>
        <v>0.87592598885773287</v>
      </c>
      <c r="Q88" s="21">
        <f t="shared" si="32"/>
        <v>0.87592598885773287</v>
      </c>
      <c r="R88" s="21">
        <f t="shared" si="32"/>
        <v>0.87592598885773287</v>
      </c>
      <c r="AB88" s="1"/>
      <c r="AC88" s="17"/>
      <c r="AD88" s="478"/>
      <c r="AE88" s="480"/>
      <c r="AF88" s="480"/>
      <c r="AG88" s="480"/>
      <c r="AH88" s="480"/>
      <c r="AI88" s="480"/>
      <c r="AJ88" s="480"/>
      <c r="AK88" s="7"/>
      <c r="AL88" s="7"/>
      <c r="AM88" s="7"/>
      <c r="AN88" s="7"/>
      <c r="AO88" s="7"/>
      <c r="BK88" s="683"/>
      <c r="BL88" s="683"/>
    </row>
    <row r="89" spans="1:64">
      <c r="A89" s="414" t="s">
        <v>390</v>
      </c>
      <c r="B89" s="166" t="str">
        <f>+Historico!N89</f>
        <v/>
      </c>
      <c r="C89" s="166"/>
      <c r="D89" s="423"/>
      <c r="F89" s="166" t="str">
        <f>IF(IF(ResumenIndicadores!$F$11="Ft-1",Factores!B89,Factores!C89)=0,"",IF(ResumenIndicadores!$F$11="Ft-1",Factores!B89,Factores!C89))</f>
        <v/>
      </c>
      <c r="H89" s="316" t="s">
        <v>361</v>
      </c>
      <c r="I89" s="21">
        <f t="shared" ref="I89:R89" si="33">+IPALd*DALd</f>
        <v>0.67961803278445398</v>
      </c>
      <c r="J89" s="21">
        <f t="shared" si="33"/>
        <v>0.67961803278445398</v>
      </c>
      <c r="K89" s="21">
        <f t="shared" si="33"/>
        <v>0.67961803278445398</v>
      </c>
      <c r="L89" s="21">
        <f t="shared" si="33"/>
        <v>0.67961803278445398</v>
      </c>
      <c r="M89" s="21">
        <f t="shared" si="33"/>
        <v>0.67961803278445398</v>
      </c>
      <c r="N89" s="21">
        <f t="shared" si="33"/>
        <v>0.67961803278445398</v>
      </c>
      <c r="O89" s="21">
        <f t="shared" si="33"/>
        <v>0.67961803278445398</v>
      </c>
      <c r="P89" s="21">
        <f t="shared" si="33"/>
        <v>0.67961803278445398</v>
      </c>
      <c r="Q89" s="21">
        <f t="shared" si="33"/>
        <v>0.67961803278445398</v>
      </c>
      <c r="R89" s="21">
        <f t="shared" si="33"/>
        <v>0.67961803278445398</v>
      </c>
      <c r="AB89" s="1"/>
      <c r="AC89" s="17"/>
      <c r="AD89" s="468" t="s">
        <v>410</v>
      </c>
      <c r="AE89" s="478"/>
      <c r="AF89" s="478"/>
      <c r="AG89" s="478"/>
      <c r="AH89" s="478"/>
      <c r="AI89" s="478"/>
      <c r="AJ89" s="478"/>
      <c r="AK89" s="7"/>
      <c r="AL89" s="420"/>
      <c r="AM89" s="420"/>
      <c r="AN89" s="420"/>
      <c r="AO89" s="420"/>
      <c r="AP89" s="27"/>
      <c r="BK89" s="683"/>
      <c r="BL89" s="683"/>
    </row>
    <row r="90" spans="1:64">
      <c r="A90" s="415" t="s">
        <v>391</v>
      </c>
      <c r="B90" s="416" t="str">
        <f>+Historico!N90</f>
        <v/>
      </c>
      <c r="C90" s="416"/>
      <c r="D90" s="424"/>
      <c r="F90" s="416" t="str">
        <f>IF(IF(ResumenIndicadores!$F$11="Ft-1",Factores!B90,Factores!C90)=0,"",IF(ResumenIndicadores!$F$11="Ft-1",Factores!B90,Factores!C90))</f>
        <v/>
      </c>
      <c r="H90" s="319"/>
      <c r="I90" s="23"/>
      <c r="J90" s="23"/>
      <c r="K90" s="23"/>
      <c r="L90" s="23"/>
      <c r="M90" s="23"/>
      <c r="N90" s="23"/>
      <c r="O90" s="23"/>
      <c r="P90" s="23"/>
      <c r="Q90" s="23"/>
      <c r="R90" s="23"/>
      <c r="AB90" s="1"/>
      <c r="AC90" s="17"/>
      <c r="AE90" s="478"/>
      <c r="AF90" s="478"/>
      <c r="AG90" s="468"/>
      <c r="AH90" s="481"/>
      <c r="AI90" s="481"/>
      <c r="AJ90" s="481"/>
      <c r="AK90" s="7"/>
      <c r="AL90" s="7"/>
      <c r="AM90" s="7"/>
      <c r="AN90" s="7"/>
      <c r="AO90" s="7"/>
      <c r="BK90" s="683"/>
      <c r="BL90" s="683"/>
    </row>
    <row r="91" spans="1:64">
      <c r="A91" s="417" t="s">
        <v>392</v>
      </c>
      <c r="B91" s="416" t="str">
        <f>+Historico!N91</f>
        <v/>
      </c>
      <c r="C91" s="416"/>
      <c r="D91" s="424"/>
      <c r="F91" s="416" t="str">
        <f>IF(IF(ResumenIndicadores!$F$11="Ft-1",Factores!B91,Factores!C91)=0,"",IF(ResumenIndicadores!$F$11="Ft-1",Factores!B91,Factores!C91))</f>
        <v/>
      </c>
      <c r="G91" s="27"/>
      <c r="H91" s="13" t="s">
        <v>344</v>
      </c>
      <c r="AB91" s="1"/>
      <c r="AC91" s="17"/>
      <c r="AD91" s="478"/>
      <c r="AE91" s="478"/>
      <c r="AF91" s="478"/>
      <c r="AG91" s="481"/>
      <c r="AH91" s="481"/>
      <c r="AI91" s="481"/>
      <c r="AJ91" s="481"/>
      <c r="AK91" s="7"/>
      <c r="AL91" s="7"/>
      <c r="AM91" s="7"/>
      <c r="AN91" s="7"/>
      <c r="AO91" s="7"/>
      <c r="BK91" s="683"/>
      <c r="BL91" s="683"/>
    </row>
    <row r="92" spans="1:64">
      <c r="A92" s="418" t="s">
        <v>393</v>
      </c>
      <c r="B92" s="93">
        <f>+Historico!N92</f>
        <v>1.008</v>
      </c>
      <c r="C92" s="333">
        <f>ROUND(AG94*$AF$87+AH94*$AG$87+AI94*$AH$87*$AI$87+AJ94*$AJ$87*$AK$87,4)</f>
        <v>0.9849</v>
      </c>
      <c r="D92" s="136">
        <f>+C92/B92-1</f>
        <v>-2.2916666666666696E-2</v>
      </c>
      <c r="F92" s="333">
        <f>IF(IF(ResumenIndicadores!$F$11="Ft-1",Factores!B92,Factores!C92)=0,"",IF(ResumenIndicadores!$F$11="Ft-1",Factores!B92,Factores!C92))</f>
        <v>0.9849</v>
      </c>
      <c r="H92" s="162" t="s">
        <v>192</v>
      </c>
      <c r="I92" s="272">
        <f>SUMPRODUCT(TA_VAD!C6:C12,TA_VAD!$M$6:$M$12)</f>
        <v>0</v>
      </c>
      <c r="J92" s="272">
        <f>SUMPRODUCT(TA_VAD!D6:D12,TA_VAD!$M$6:$M$12)</f>
        <v>0</v>
      </c>
      <c r="K92" s="272">
        <f>SUMPRODUCT(TA_VAD!E6:E12,TA_VAD!$M$6:$M$12)</f>
        <v>0</v>
      </c>
      <c r="L92" s="272">
        <f>SUMPRODUCT(TA_VAD!F6:F12,TA_VAD!$M$6:$M$12)</f>
        <v>0</v>
      </c>
      <c r="M92" s="272">
        <f>SUMPRODUCT(TA_VAD!G6:G12,TA_VAD!$M$6:$M$12)</f>
        <v>0</v>
      </c>
      <c r="N92" s="272">
        <f>SUMPRODUCT(TA_VAD!H6:H12,TA_VAD!$M$6:$M$12)</f>
        <v>0</v>
      </c>
      <c r="O92" s="272">
        <f>SUMPRODUCT(TA_VAD!I6:I12,TA_VAD!$M$6:$M$12)</f>
        <v>0</v>
      </c>
      <c r="P92" s="272">
        <f>SUMPRODUCT(TA_VAD!J6:J12,TA_VAD!$M$6:$M$12)</f>
        <v>0</v>
      </c>
      <c r="Q92" s="272">
        <f>SUMPRODUCT(TA_VAD!K6:K12,TA_VAD!$M$6:$M$12)</f>
        <v>0</v>
      </c>
      <c r="R92" s="272">
        <f>SUMPRODUCT(TA_VAD!L6:L12,TA_VAD!$M$6:$M$12)</f>
        <v>0</v>
      </c>
      <c r="AB92" s="1"/>
      <c r="AD92" s="478"/>
      <c r="AE92" s="478"/>
      <c r="AF92" s="478"/>
      <c r="AG92" s="481"/>
      <c r="AH92" s="481"/>
      <c r="AI92" s="481"/>
      <c r="AJ92" s="481"/>
      <c r="AK92" s="7"/>
      <c r="AL92" s="421"/>
      <c r="AM92" s="421"/>
      <c r="AN92" s="421"/>
      <c r="AO92" s="7"/>
      <c r="BK92" s="683"/>
      <c r="BL92" s="683"/>
    </row>
    <row r="93" spans="1:64">
      <c r="A93" s="418" t="s">
        <v>394</v>
      </c>
      <c r="B93" s="93">
        <f>+Historico!N93</f>
        <v>1.0208999999999999</v>
      </c>
      <c r="C93" s="333">
        <f>ROUND(AG95*$AF$87+AH95*$AG$87+AI95*$AH$87*$AI$87+AJ95*$AJ$87*$AK$87,4)</f>
        <v>0.99219999999999997</v>
      </c>
      <c r="D93" s="136">
        <f>+C93/B93-1</f>
        <v>-2.8112449799196693E-2</v>
      </c>
      <c r="F93" s="333">
        <f>IF(IF(ResumenIndicadores!$F$11="Ft-1",Factores!B93,Factores!C93)=0,"",IF(ResumenIndicadores!$F$11="Ft-1",Factores!B93,Factores!C93))</f>
        <v>0.99219999999999997</v>
      </c>
      <c r="H93" s="162" t="s">
        <v>193</v>
      </c>
      <c r="I93" s="272">
        <f>SUMPRODUCT(TA_VAD!C13:C19,TA_VAD!$M$13:$M$19)</f>
        <v>1.0469999999999998E-2</v>
      </c>
      <c r="J93" s="272">
        <f>SUMPRODUCT(TA_VAD!D13:D18,TA_VAD!$M$13:$M$18)</f>
        <v>1.7885999999999999E-2</v>
      </c>
      <c r="K93" s="272">
        <f>SUMPRODUCT(TA_VAD!E13:E19,TA_VAD!$M$13:$M$19)</f>
        <v>2.0843999999999998E-2</v>
      </c>
      <c r="L93" s="272">
        <f>SUMPRODUCT(TA_VAD!F13:F19,TA_VAD!$M$13:$M$19)</f>
        <v>2.2380000000000001E-2</v>
      </c>
      <c r="M93" s="272">
        <f>SUMPRODUCT(TA_VAD!G13:G19,TA_VAD!$M$13:$M$19)</f>
        <v>1.9289999999999998E-2</v>
      </c>
      <c r="N93" s="272">
        <f>SUMPRODUCT(TA_VAD!H13:H19,TA_VAD!$M$13:$M$19)</f>
        <v>8.4599999999999996E-4</v>
      </c>
      <c r="O93" s="272">
        <f>SUMPRODUCT(TA_VAD!I13:I19,TA_VAD!$M$13:$M$19)</f>
        <v>4.3080000000000002E-3</v>
      </c>
      <c r="P93" s="272">
        <f>SUMPRODUCT(TA_VAD!J13:J19,TA_VAD!$M$13:$M$19)</f>
        <v>7.4399999999999996E-3</v>
      </c>
      <c r="Q93" s="272">
        <f>SUMPRODUCT(TA_VAD!K13:K19,TA_VAD!$M$13:$M$19)</f>
        <v>4.3080000000000002E-3</v>
      </c>
      <c r="R93" s="272">
        <f>SUMPRODUCT(TA_VAD!L13:L19,TA_VAD!$M$13:$M$19)</f>
        <v>7.4399999999999996E-3</v>
      </c>
      <c r="AB93" s="1"/>
      <c r="AC93" s="17"/>
      <c r="AD93" s="482" t="s">
        <v>9</v>
      </c>
      <c r="AE93" s="482" t="s">
        <v>411</v>
      </c>
      <c r="AF93" s="482" t="s">
        <v>412</v>
      </c>
      <c r="AG93" s="483" t="s">
        <v>413</v>
      </c>
      <c r="AH93" s="483" t="s">
        <v>414</v>
      </c>
      <c r="AI93" s="483" t="s">
        <v>415</v>
      </c>
      <c r="AJ93" s="483" t="s">
        <v>416</v>
      </c>
      <c r="AK93" s="7"/>
      <c r="AL93" s="7"/>
      <c r="AM93" s="7"/>
      <c r="AN93" s="7"/>
      <c r="AO93" s="7"/>
      <c r="BK93" s="683"/>
      <c r="BL93" s="683"/>
    </row>
    <row r="94" spans="1:64">
      <c r="A94" s="418" t="s">
        <v>395</v>
      </c>
      <c r="B94" s="93">
        <f>+Historico!N94</f>
        <v>0.97899999999999998</v>
      </c>
      <c r="C94" s="333">
        <f>ROUND(AG96*$AF$87+AH96*$AG$87+AI96*$AH$87*$AI$87+AJ96*$AJ$87*$AK$87,4)</f>
        <v>0.9597</v>
      </c>
      <c r="D94" s="136">
        <f>+C94/B94-1</f>
        <v>-1.9713993871297242E-2</v>
      </c>
      <c r="F94" s="333">
        <f>IF(IF(ResumenIndicadores!$F$11="Ft-1",Factores!B94,Factores!C94)=0,"",IF(ResumenIndicadores!$F$11="Ft-1",Factores!B94,Factores!C94))</f>
        <v>0.9597</v>
      </c>
      <c r="H94" s="162" t="s">
        <v>194</v>
      </c>
      <c r="I94" s="272">
        <f>SUMPRODUCT(TA_VAD!C20:C26,TA_VAD!$M$20:$M$26)</f>
        <v>0</v>
      </c>
      <c r="J94" s="272">
        <f>SUMPRODUCT(TA_VAD!D20:D26,TA_VAD!$M$20:$M$26)</f>
        <v>0</v>
      </c>
      <c r="K94" s="272">
        <f>SUMPRODUCT(TA_VAD!E20:E26,TA_VAD!$M$20:$M$26)</f>
        <v>0</v>
      </c>
      <c r="L94" s="272">
        <f>SUMPRODUCT(TA_VAD!F20:F26,TA_VAD!$M$20:$M$26)</f>
        <v>0</v>
      </c>
      <c r="M94" s="272">
        <f>SUMPRODUCT(TA_VAD!G20:G26,TA_VAD!$M$20:$M$26)</f>
        <v>0</v>
      </c>
      <c r="N94" s="272">
        <f>SUMPRODUCT(TA_VAD!H20:H26,TA_VAD!$M$20:$M$26)</f>
        <v>0</v>
      </c>
      <c r="O94" s="272">
        <f>SUMPRODUCT(TA_VAD!I20:I26,TA_VAD!$M$20:$M$26)</f>
        <v>0</v>
      </c>
      <c r="P94" s="272">
        <f>SUMPRODUCT(TA_VAD!J20:J26,TA_VAD!$M$20:$M$26)</f>
        <v>0</v>
      </c>
      <c r="Q94" s="272">
        <f>SUMPRODUCT(TA_VAD!K20:K26,TA_VAD!$M$20:$M$26)</f>
        <v>0</v>
      </c>
      <c r="R94" s="272">
        <f>SUMPRODUCT(TA_VAD!L20:L26,TA_VAD!$M$20:$M$26)</f>
        <v>0</v>
      </c>
      <c r="AB94" s="1"/>
      <c r="AD94" s="490" t="s">
        <v>417</v>
      </c>
      <c r="AE94" s="484" t="s">
        <v>418</v>
      </c>
      <c r="AF94" s="484" t="s">
        <v>419</v>
      </c>
      <c r="AG94" s="485">
        <v>0.3</v>
      </c>
      <c r="AH94" s="485">
        <v>0.56000000000000005</v>
      </c>
      <c r="AI94" s="485">
        <v>0.12</v>
      </c>
      <c r="AJ94" s="485">
        <v>0.02</v>
      </c>
      <c r="AK94" s="7"/>
      <c r="AL94" s="7"/>
      <c r="AM94" s="7"/>
      <c r="AN94" s="7"/>
      <c r="AO94" s="7"/>
      <c r="BK94" s="683"/>
      <c r="BL94" s="683"/>
    </row>
    <row r="95" spans="1:64">
      <c r="A95" s="418" t="s">
        <v>396</v>
      </c>
      <c r="B95" s="93">
        <f>+Historico!N95</f>
        <v>1.0358000000000001</v>
      </c>
      <c r="C95" s="333">
        <f>ROUND(AG97*$AF$87+AH97*$AG$87+AI97*$AH$87*$AI$87+AJ97*$AJ$87*$AK$87,4)</f>
        <v>1.0075000000000001</v>
      </c>
      <c r="D95" s="136">
        <f>+C95/B95-1</f>
        <v>-2.7321876810195045E-2</v>
      </c>
      <c r="F95" s="333">
        <f>IF(IF(ResumenIndicadores!$F$11="Ft-1",Factores!B95,Factores!C95)=0,"",IF(ResumenIndicadores!$F$11="Ft-1",Factores!B95,Factores!C95))</f>
        <v>1.0075000000000001</v>
      </c>
      <c r="H95" s="1" t="s">
        <v>204</v>
      </c>
      <c r="AB95" s="1"/>
      <c r="AD95" s="490" t="s">
        <v>420</v>
      </c>
      <c r="AE95" s="484" t="s">
        <v>421</v>
      </c>
      <c r="AF95" s="484" t="s">
        <v>422</v>
      </c>
      <c r="AG95" s="485">
        <v>0.31</v>
      </c>
      <c r="AH95" s="485">
        <v>0.42</v>
      </c>
      <c r="AI95" s="485">
        <v>0.21</v>
      </c>
      <c r="AJ95" s="485">
        <v>0.06</v>
      </c>
      <c r="AK95" s="420"/>
      <c r="AL95" s="7"/>
      <c r="AM95" s="7"/>
      <c r="AN95" s="7"/>
      <c r="AO95" s="7"/>
      <c r="BK95" s="683"/>
      <c r="BL95" s="683"/>
    </row>
    <row r="96" spans="1:64" ht="28.5">
      <c r="A96" s="418" t="s">
        <v>397</v>
      </c>
      <c r="B96" s="93">
        <f>+Historico!N96</f>
        <v>1.0811999999999999</v>
      </c>
      <c r="C96" s="333">
        <f>ROUND(AG98*$AF$87+AH98*$AG$87+AI98*$AH$87*$AI$87+AJ98*$AJ$87*$AK$87,4)</f>
        <v>1.0746</v>
      </c>
      <c r="D96" s="136">
        <f>+C96/B96-1</f>
        <v>-6.1043285238623346E-3</v>
      </c>
      <c r="F96" s="333">
        <f>IF(IF(ResumenIndicadores!$F$11="Ft-1",Factores!B96,Factores!C96)=0,"",IF(ResumenIndicadores!$F$11="Ft-1",Factores!B96,Factores!C96))</f>
        <v>1.0746</v>
      </c>
      <c r="H96" s="162" t="s">
        <v>192</v>
      </c>
      <c r="I96" s="21">
        <f t="shared" ref="I96:R96" si="34">+(1+I92)</f>
        <v>1</v>
      </c>
      <c r="J96" s="21">
        <f t="shared" si="34"/>
        <v>1</v>
      </c>
      <c r="K96" s="21">
        <f t="shared" si="34"/>
        <v>1</v>
      </c>
      <c r="L96" s="21">
        <f t="shared" si="34"/>
        <v>1</v>
      </c>
      <c r="M96" s="21">
        <f t="shared" si="34"/>
        <v>1</v>
      </c>
      <c r="N96" s="21">
        <f t="shared" si="34"/>
        <v>1</v>
      </c>
      <c r="O96" s="21">
        <f t="shared" si="34"/>
        <v>1</v>
      </c>
      <c r="P96" s="21">
        <f t="shared" si="34"/>
        <v>1</v>
      </c>
      <c r="Q96" s="21">
        <f t="shared" si="34"/>
        <v>1</v>
      </c>
      <c r="R96" s="21">
        <f t="shared" si="34"/>
        <v>1</v>
      </c>
      <c r="AB96" s="1"/>
      <c r="AC96" s="17"/>
      <c r="AD96" s="490" t="s">
        <v>423</v>
      </c>
      <c r="AE96" s="484" t="s">
        <v>424</v>
      </c>
      <c r="AF96" s="484" t="s">
        <v>425</v>
      </c>
      <c r="AG96" s="485">
        <v>0.17</v>
      </c>
      <c r="AH96" s="485">
        <v>0.83</v>
      </c>
      <c r="AI96" s="485">
        <v>0</v>
      </c>
      <c r="AJ96" s="485">
        <v>0</v>
      </c>
      <c r="AK96" s="7"/>
      <c r="AL96" s="7"/>
      <c r="AM96" s="7"/>
      <c r="AN96" s="7"/>
      <c r="AO96" s="7"/>
      <c r="BK96" s="683"/>
      <c r="BL96" s="683"/>
    </row>
    <row r="97" spans="1:64" ht="28.5">
      <c r="A97" s="417" t="s">
        <v>398</v>
      </c>
      <c r="B97" s="93" t="str">
        <f>+Historico!N97</f>
        <v/>
      </c>
      <c r="C97" s="333"/>
      <c r="D97" s="136"/>
      <c r="F97" s="333" t="str">
        <f>IF(IF(ResumenIndicadores!$F$11="Ft-1",Factores!B97,Factores!C97)=0,"",IF(ResumenIndicadores!$F$11="Ft-1",Factores!B97,Factores!C97))</f>
        <v/>
      </c>
      <c r="H97" s="162" t="s">
        <v>193</v>
      </c>
      <c r="I97" s="21">
        <f t="shared" ref="I97:R97" si="35">+(1+I93)</f>
        <v>1.01047</v>
      </c>
      <c r="J97" s="21">
        <f t="shared" si="35"/>
        <v>1.0178860000000001</v>
      </c>
      <c r="K97" s="21">
        <f t="shared" si="35"/>
        <v>1.0208440000000001</v>
      </c>
      <c r="L97" s="21">
        <f t="shared" si="35"/>
        <v>1.0223800000000001</v>
      </c>
      <c r="M97" s="21">
        <f t="shared" si="35"/>
        <v>1.01929</v>
      </c>
      <c r="N97" s="21">
        <f t="shared" si="35"/>
        <v>1.0008459999999999</v>
      </c>
      <c r="O97" s="21">
        <f t="shared" si="35"/>
        <v>1.004308</v>
      </c>
      <c r="P97" s="21">
        <f t="shared" si="35"/>
        <v>1.0074399999999999</v>
      </c>
      <c r="Q97" s="21">
        <f t="shared" si="35"/>
        <v>1.004308</v>
      </c>
      <c r="R97" s="21">
        <f t="shared" si="35"/>
        <v>1.0074399999999999</v>
      </c>
      <c r="AB97" s="1"/>
      <c r="AC97" s="17"/>
      <c r="AD97" s="490" t="s">
        <v>426</v>
      </c>
      <c r="AE97" s="484" t="s">
        <v>427</v>
      </c>
      <c r="AF97" s="484" t="s">
        <v>425</v>
      </c>
      <c r="AG97" s="485">
        <v>0.39</v>
      </c>
      <c r="AH97" s="485">
        <v>0.3</v>
      </c>
      <c r="AI97" s="485">
        <v>0.31</v>
      </c>
      <c r="AJ97" s="485">
        <v>0</v>
      </c>
      <c r="AK97" s="420"/>
      <c r="AL97" s="7"/>
      <c r="AM97" s="7"/>
      <c r="AN97" s="7"/>
      <c r="AO97" s="7"/>
      <c r="BK97" s="683"/>
      <c r="BL97" s="683"/>
    </row>
    <row r="98" spans="1:64" ht="28.5">
      <c r="A98" s="418" t="s">
        <v>393</v>
      </c>
      <c r="B98" s="93">
        <f>+Historico!N98</f>
        <v>0.99990000000000001</v>
      </c>
      <c r="C98" s="333">
        <f>ROUND(AG99*$AF$87+AH99*$AG$87+AI99*$AH$87*$AI$87+AJ99*$AJ$87*$AK$87,4)</f>
        <v>0.9768</v>
      </c>
      <c r="D98" s="136">
        <f>+C98/B98-1</f>
        <v>-2.310231023102316E-2</v>
      </c>
      <c r="F98" s="333">
        <f>IF(IF(ResumenIndicadores!$F$11="Ft-1",Factores!B98,Factores!C98)=0,"",IF(ResumenIndicadores!$F$11="Ft-1",Factores!B98,Factores!C98))</f>
        <v>0.9768</v>
      </c>
      <c r="H98" s="162" t="s">
        <v>194</v>
      </c>
      <c r="I98" s="21">
        <f t="shared" ref="I98:R98" si="36">+(1+I94)</f>
        <v>1</v>
      </c>
      <c r="J98" s="21">
        <f t="shared" si="36"/>
        <v>1</v>
      </c>
      <c r="K98" s="21">
        <f t="shared" si="36"/>
        <v>1</v>
      </c>
      <c r="L98" s="21">
        <f t="shared" si="36"/>
        <v>1</v>
      </c>
      <c r="M98" s="21">
        <f t="shared" si="36"/>
        <v>1</v>
      </c>
      <c r="N98" s="21">
        <f t="shared" si="36"/>
        <v>1</v>
      </c>
      <c r="O98" s="21">
        <f t="shared" si="36"/>
        <v>1</v>
      </c>
      <c r="P98" s="21">
        <f t="shared" si="36"/>
        <v>1</v>
      </c>
      <c r="Q98" s="21">
        <f t="shared" si="36"/>
        <v>1</v>
      </c>
      <c r="R98" s="21">
        <f t="shared" si="36"/>
        <v>1</v>
      </c>
      <c r="AB98" s="1"/>
      <c r="AD98" s="490" t="s">
        <v>428</v>
      </c>
      <c r="AE98" s="484" t="s">
        <v>429</v>
      </c>
      <c r="AF98" s="484" t="s">
        <v>430</v>
      </c>
      <c r="AG98" s="485">
        <v>1</v>
      </c>
      <c r="AH98" s="485">
        <v>0</v>
      </c>
      <c r="AI98" s="485">
        <v>0</v>
      </c>
      <c r="AJ98" s="485">
        <v>0</v>
      </c>
      <c r="AK98" s="7"/>
      <c r="AL98" s="7"/>
      <c r="AM98" s="7"/>
      <c r="AN98" s="7"/>
      <c r="AO98" s="7"/>
      <c r="BK98" s="683"/>
      <c r="BL98" s="683"/>
    </row>
    <row r="99" spans="1:64">
      <c r="A99" s="417" t="s">
        <v>399</v>
      </c>
      <c r="B99" s="93" t="str">
        <f>+Historico!N99</f>
        <v/>
      </c>
      <c r="C99" s="333"/>
      <c r="D99" s="136"/>
      <c r="F99" s="333" t="str">
        <f>IF(IF(ResumenIndicadores!$F$11="Ft-1",Factores!B99,Factores!C99)=0,"",IF(ResumenIndicadores!$F$11="Ft-1",Factores!B99,Factores!C99))</f>
        <v/>
      </c>
      <c r="H99" s="13" t="s">
        <v>345</v>
      </c>
      <c r="AB99" s="1"/>
      <c r="AD99" s="491" t="s">
        <v>417</v>
      </c>
      <c r="AE99" s="55" t="s">
        <v>431</v>
      </c>
      <c r="AF99" s="486" t="s">
        <v>419</v>
      </c>
      <c r="AG99" s="485">
        <v>0.25</v>
      </c>
      <c r="AH99" s="485">
        <v>0.63</v>
      </c>
      <c r="AI99" s="485">
        <v>0.1</v>
      </c>
      <c r="AJ99" s="485">
        <v>0.02</v>
      </c>
      <c r="AK99" s="7"/>
      <c r="AL99" s="7"/>
      <c r="AM99" s="7"/>
      <c r="AN99" s="7"/>
      <c r="AO99" s="7"/>
      <c r="BK99" s="683"/>
      <c r="BL99" s="683"/>
    </row>
    <row r="100" spans="1:64">
      <c r="A100" s="418" t="s">
        <v>393</v>
      </c>
      <c r="B100" s="93">
        <f>+Historico!N100</f>
        <v>1.0611999999999999</v>
      </c>
      <c r="C100" s="333">
        <f>ROUND(AG100*$AF$87+AH100*$AG$87+AI100*$AH$87*$AI$87+AJ100*$AJ$87*$AK$87,4)</f>
        <v>1.0136000000000001</v>
      </c>
      <c r="D100" s="136">
        <f>+C100/B100-1</f>
        <v>-4.485488126649062E-2</v>
      </c>
      <c r="F100" s="333">
        <f>IF(IF(ResumenIndicadores!$F$11="Ft-1",Factores!B100,Factores!C100)=0,"",IF(ResumenIndicadores!$F$11="Ft-1",Factores!B100,Factores!C100))</f>
        <v>1.0136000000000001</v>
      </c>
      <c r="H100" s="162" t="s">
        <v>192</v>
      </c>
      <c r="I100" s="285">
        <v>0</v>
      </c>
      <c r="J100" s="285">
        <v>0</v>
      </c>
      <c r="K100" s="285">
        <v>0</v>
      </c>
      <c r="L100" s="285">
        <v>0</v>
      </c>
      <c r="M100" s="285">
        <v>0</v>
      </c>
      <c r="N100" s="285">
        <v>0</v>
      </c>
      <c r="O100" s="285">
        <v>0</v>
      </c>
      <c r="P100" s="285">
        <v>0</v>
      </c>
      <c r="Q100" s="285">
        <v>0</v>
      </c>
      <c r="R100" s="285">
        <v>0</v>
      </c>
      <c r="AB100" s="1"/>
      <c r="AD100" s="491" t="s">
        <v>417</v>
      </c>
      <c r="AE100" s="55" t="s">
        <v>432</v>
      </c>
      <c r="AF100" s="486" t="s">
        <v>419</v>
      </c>
      <c r="AG100" s="485">
        <v>0.26</v>
      </c>
      <c r="AH100" s="485">
        <v>0</v>
      </c>
      <c r="AI100" s="485">
        <v>0.74</v>
      </c>
      <c r="AJ100" s="485">
        <v>0</v>
      </c>
      <c r="AK100" s="7"/>
      <c r="AL100" s="7"/>
      <c r="AM100" s="7"/>
      <c r="AN100" s="7"/>
      <c r="AO100" s="7"/>
      <c r="BK100" s="683"/>
      <c r="BL100" s="683"/>
    </row>
    <row r="101" spans="1:64">
      <c r="A101" s="415" t="s">
        <v>400</v>
      </c>
      <c r="B101" s="93" t="str">
        <f>+Historico!N101</f>
        <v/>
      </c>
      <c r="C101" s="333"/>
      <c r="D101" s="136"/>
      <c r="F101" s="333" t="str">
        <f>IF(IF(ResumenIndicadores!$F$11="Ft-1",Factores!B101,Factores!C101)=0,"",IF(ResumenIndicadores!$F$11="Ft-1",Factores!B101,Factores!C101))</f>
        <v/>
      </c>
      <c r="H101" s="162" t="s">
        <v>193</v>
      </c>
      <c r="I101" s="285">
        <v>1.5699999999999999E-2</v>
      </c>
      <c r="J101" s="285">
        <v>2.6800000000000001E-2</v>
      </c>
      <c r="K101" s="285">
        <v>3.1300000000000001E-2</v>
      </c>
      <c r="L101" s="285">
        <v>3.3599999999999998E-2</v>
      </c>
      <c r="M101" s="285">
        <v>2.8899999999999999E-2</v>
      </c>
      <c r="N101" s="285">
        <v>1.2999999999999999E-3</v>
      </c>
      <c r="O101" s="285">
        <v>6.4999999999999997E-3</v>
      </c>
      <c r="P101" s="285">
        <v>1.12E-2</v>
      </c>
      <c r="Q101" s="285">
        <v>6.4999999999999997E-3</v>
      </c>
      <c r="R101" s="285">
        <v>1.12E-2</v>
      </c>
      <c r="AB101" s="1"/>
      <c r="AD101" s="492"/>
      <c r="AE101" s="22"/>
      <c r="AF101" s="487"/>
      <c r="AG101" s="488"/>
      <c r="AH101" s="488"/>
      <c r="AI101" s="488"/>
      <c r="AJ101" s="488"/>
      <c r="AK101" s="7"/>
      <c r="AL101" s="7"/>
      <c r="AM101" s="7"/>
      <c r="AN101" s="7"/>
      <c r="AO101" s="7"/>
      <c r="BK101" s="683"/>
      <c r="BL101" s="683"/>
    </row>
    <row r="102" spans="1:64">
      <c r="A102" s="418" t="s">
        <v>393</v>
      </c>
      <c r="B102" s="93">
        <f>+Historico!N102</f>
        <v>1.0664</v>
      </c>
      <c r="C102" s="333">
        <f>ROUND(AG107*$AF$87+AH107*$AG$87+AI107*$AH$87*$AI$87+AJ107*$AJ$87*$AK$87,4)</f>
        <v>1.0580000000000001</v>
      </c>
      <c r="D102" s="136">
        <f>+C102/B102-1</f>
        <v>-7.8769692423105164E-3</v>
      </c>
      <c r="F102" s="333">
        <f>IF(IF(ResumenIndicadores!$F$11="Ft-1",Factores!B102,Factores!C102)=0,"",IF(ResumenIndicadores!$F$11="Ft-1",Factores!B102,Factores!C102))</f>
        <v>1.0580000000000001</v>
      </c>
      <c r="H102" s="162" t="s">
        <v>194</v>
      </c>
      <c r="I102" s="285">
        <v>0</v>
      </c>
      <c r="J102" s="285">
        <v>0</v>
      </c>
      <c r="K102" s="285">
        <v>0</v>
      </c>
      <c r="L102" s="285">
        <v>0</v>
      </c>
      <c r="M102" s="285">
        <v>0</v>
      </c>
      <c r="N102" s="285">
        <v>0</v>
      </c>
      <c r="O102" s="285">
        <v>0</v>
      </c>
      <c r="P102" s="285">
        <v>0</v>
      </c>
      <c r="Q102" s="285">
        <v>0</v>
      </c>
      <c r="R102" s="285">
        <v>0</v>
      </c>
      <c r="AB102" s="1"/>
      <c r="AD102" s="493"/>
      <c r="AE102" s="481"/>
      <c r="AF102" s="481"/>
      <c r="AG102" s="481"/>
      <c r="AH102" s="481"/>
      <c r="AI102" s="481"/>
      <c r="AJ102" s="481"/>
      <c r="AK102" s="7"/>
      <c r="AL102" s="7"/>
      <c r="AM102" s="7"/>
      <c r="AN102" s="7"/>
      <c r="AO102" s="7"/>
      <c r="BK102" s="683"/>
      <c r="BL102" s="683"/>
    </row>
    <row r="103" spans="1:64">
      <c r="A103" s="419" t="s">
        <v>401</v>
      </c>
      <c r="B103" s="94">
        <f>+Historico!N103</f>
        <v>1.0738000000000001</v>
      </c>
      <c r="C103" s="334">
        <f>ROUND(AG108*$AF$87+AH108*$AG$87+AI108*$AH$87*$AI$87+AJ108*$AJ$87*$AK$87,4)</f>
        <v>1.0663</v>
      </c>
      <c r="D103" s="139">
        <f>+C103/B103-1</f>
        <v>-6.9845408828460576E-3</v>
      </c>
      <c r="F103" s="334">
        <f>IF(IF(ResumenIndicadores!$F$11="Ft-1",Factores!B103,Factores!C103)=0,"",IF(ResumenIndicadores!$F$11="Ft-1",Factores!B103,Factores!C103))</f>
        <v>1.0663</v>
      </c>
      <c r="H103" s="1" t="s">
        <v>204</v>
      </c>
      <c r="AB103" s="1"/>
      <c r="AD103" s="494" t="s">
        <v>433</v>
      </c>
      <c r="AE103" s="7"/>
      <c r="AF103" s="468"/>
      <c r="AG103" s="481"/>
      <c r="AH103" s="481"/>
      <c r="AI103" s="481"/>
      <c r="AJ103" s="481"/>
      <c r="AK103" s="7"/>
      <c r="AL103" s="7"/>
      <c r="AM103" s="7"/>
      <c r="AN103" s="7"/>
      <c r="AO103" s="7"/>
      <c r="BK103" s="683"/>
      <c r="BL103" s="683"/>
    </row>
    <row r="104" spans="1:64">
      <c r="A104" s="414" t="s">
        <v>403</v>
      </c>
      <c r="B104" s="166" t="str">
        <f>+Historico!N104</f>
        <v/>
      </c>
      <c r="C104" s="166"/>
      <c r="D104" s="424"/>
      <c r="F104" s="166" t="str">
        <f>IF(IF(ResumenIndicadores!$F$11="Ft-1",Factores!B104,Factores!C104)=0,"",IF(ResumenIndicadores!$F$11="Ft-1",Factores!B104,Factores!C104))</f>
        <v/>
      </c>
      <c r="H104" s="162" t="s">
        <v>192</v>
      </c>
      <c r="I104" s="287">
        <f t="shared" ref="I104:R104" si="37">+(1+I100)</f>
        <v>1</v>
      </c>
      <c r="J104" s="287">
        <f t="shared" si="37"/>
        <v>1</v>
      </c>
      <c r="K104" s="287">
        <f t="shared" si="37"/>
        <v>1</v>
      </c>
      <c r="L104" s="287">
        <f t="shared" si="37"/>
        <v>1</v>
      </c>
      <c r="M104" s="287">
        <f t="shared" si="37"/>
        <v>1</v>
      </c>
      <c r="N104" s="287">
        <f t="shared" si="37"/>
        <v>1</v>
      </c>
      <c r="O104" s="287">
        <f t="shared" si="37"/>
        <v>1</v>
      </c>
      <c r="P104" s="287">
        <f t="shared" si="37"/>
        <v>1</v>
      </c>
      <c r="Q104" s="287">
        <f t="shared" si="37"/>
        <v>1</v>
      </c>
      <c r="R104" s="287">
        <f t="shared" si="37"/>
        <v>1</v>
      </c>
      <c r="AB104" s="1"/>
      <c r="AD104" s="493"/>
      <c r="AE104" s="481"/>
      <c r="AF104" s="481"/>
      <c r="AG104" s="481"/>
      <c r="AH104" s="481"/>
      <c r="AI104" s="481"/>
      <c r="AJ104" s="481"/>
      <c r="AK104" s="7"/>
      <c r="AL104" s="7"/>
      <c r="AM104" s="7"/>
      <c r="AN104" s="7"/>
      <c r="AO104" s="7"/>
      <c r="BK104" s="683"/>
      <c r="BL104" s="683"/>
    </row>
    <row r="105" spans="1:64">
      <c r="A105" s="419" t="s">
        <v>402</v>
      </c>
      <c r="B105" s="94">
        <f>+Historico!N105</f>
        <v>1.0516000000000001</v>
      </c>
      <c r="C105" s="334">
        <f>+ROUND(AF86/199.037811,4)</f>
        <v>1.0452999999999999</v>
      </c>
      <c r="D105" s="139">
        <f>+C105/B105-1</f>
        <v>-5.9908710536327181E-3</v>
      </c>
      <c r="F105" s="334">
        <f>IF(IF(ResumenIndicadores!$F$11="Ft-1",Factores!B105,Factores!C105)=0,"",IF(ResumenIndicadores!$F$11="Ft-1",Factores!B105,Factores!C105))</f>
        <v>1.0452999999999999</v>
      </c>
      <c r="H105" s="162" t="s">
        <v>193</v>
      </c>
      <c r="I105" s="287">
        <f>+(1+I101)</f>
        <v>1.0157</v>
      </c>
      <c r="J105" s="287">
        <f t="shared" ref="J105:R105" si="38">+(1+J101)</f>
        <v>1.0267999999999999</v>
      </c>
      <c r="K105" s="287">
        <f t="shared" si="38"/>
        <v>1.0313000000000001</v>
      </c>
      <c r="L105" s="287">
        <f t="shared" si="38"/>
        <v>1.0336000000000001</v>
      </c>
      <c r="M105" s="287">
        <f t="shared" si="38"/>
        <v>1.0288999999999999</v>
      </c>
      <c r="N105" s="287">
        <f t="shared" si="38"/>
        <v>1.0013000000000001</v>
      </c>
      <c r="O105" s="287">
        <f t="shared" si="38"/>
        <v>1.0065</v>
      </c>
      <c r="P105" s="287">
        <f t="shared" si="38"/>
        <v>1.0112000000000001</v>
      </c>
      <c r="Q105" s="287">
        <f t="shared" si="38"/>
        <v>1.0065</v>
      </c>
      <c r="R105" s="287">
        <f t="shared" si="38"/>
        <v>1.0112000000000001</v>
      </c>
      <c r="AB105" s="1"/>
      <c r="AD105" s="493"/>
      <c r="AE105" s="481"/>
      <c r="AF105" s="481"/>
      <c r="AG105" s="481"/>
      <c r="AH105" s="481"/>
      <c r="AI105" s="481"/>
      <c r="AJ105" s="481"/>
      <c r="AK105" s="7"/>
      <c r="AL105" s="7"/>
      <c r="AM105" s="7"/>
      <c r="AN105" s="7"/>
      <c r="AO105" s="7"/>
      <c r="BK105" s="683"/>
      <c r="BL105" s="683"/>
    </row>
    <row r="106" spans="1:64">
      <c r="H106" s="162" t="s">
        <v>194</v>
      </c>
      <c r="I106" s="287">
        <f t="shared" ref="I106:R106" si="39">+(1+I102)</f>
        <v>1</v>
      </c>
      <c r="J106" s="287">
        <f t="shared" si="39"/>
        <v>1</v>
      </c>
      <c r="K106" s="287">
        <f t="shared" si="39"/>
        <v>1</v>
      </c>
      <c r="L106" s="287">
        <f t="shared" si="39"/>
        <v>1</v>
      </c>
      <c r="M106" s="287">
        <f t="shared" si="39"/>
        <v>1</v>
      </c>
      <c r="N106" s="287">
        <f t="shared" si="39"/>
        <v>1</v>
      </c>
      <c r="O106" s="287">
        <f t="shared" si="39"/>
        <v>1</v>
      </c>
      <c r="P106" s="287">
        <f t="shared" si="39"/>
        <v>1</v>
      </c>
      <c r="Q106" s="287">
        <f t="shared" si="39"/>
        <v>1</v>
      </c>
      <c r="R106" s="287">
        <f t="shared" si="39"/>
        <v>1</v>
      </c>
      <c r="AB106" s="1"/>
      <c r="AD106" s="495" t="s">
        <v>9</v>
      </c>
      <c r="AE106" s="489" t="s">
        <v>434</v>
      </c>
      <c r="AF106" s="489" t="s">
        <v>412</v>
      </c>
      <c r="AG106" s="483" t="s">
        <v>435</v>
      </c>
      <c r="AH106" s="483" t="s">
        <v>436</v>
      </c>
      <c r="AI106" s="483" t="s">
        <v>437</v>
      </c>
      <c r="AJ106" s="483" t="s">
        <v>438</v>
      </c>
      <c r="AK106" s="7"/>
      <c r="AL106" s="7"/>
      <c r="AM106" s="7"/>
      <c r="AN106" s="7"/>
      <c r="AO106" s="7"/>
      <c r="BK106" s="683"/>
      <c r="BL106" s="683"/>
    </row>
    <row r="107" spans="1:64" ht="42.75">
      <c r="B107" s="1"/>
      <c r="C107" s="569" t="s">
        <v>479</v>
      </c>
      <c r="D107" s="570"/>
      <c r="E107" s="571"/>
      <c r="F107" s="572"/>
      <c r="AB107" s="1"/>
      <c r="AD107" s="490" t="s">
        <v>439</v>
      </c>
      <c r="AE107" s="55" t="s">
        <v>440</v>
      </c>
      <c r="AF107" s="484" t="s">
        <v>419</v>
      </c>
      <c r="AG107" s="485">
        <v>0.88</v>
      </c>
      <c r="AH107" s="485">
        <v>0.12</v>
      </c>
      <c r="AI107" s="485">
        <v>0</v>
      </c>
      <c r="AJ107" s="485">
        <v>0</v>
      </c>
      <c r="AK107" s="7"/>
      <c r="AL107" s="7"/>
      <c r="AM107" s="7"/>
      <c r="AN107" s="7"/>
      <c r="AO107" s="7"/>
      <c r="BK107" s="683"/>
      <c r="BL107" s="683"/>
    </row>
    <row r="108" spans="1:64" ht="42.75">
      <c r="B108" s="1"/>
      <c r="C108" s="573"/>
      <c r="D108" s="569" t="s">
        <v>478</v>
      </c>
      <c r="E108" s="7"/>
      <c r="F108" s="574"/>
      <c r="G108" s="7"/>
      <c r="AB108" s="1"/>
      <c r="AD108" s="490" t="s">
        <v>441</v>
      </c>
      <c r="AE108" s="55" t="s">
        <v>442</v>
      </c>
      <c r="AF108" s="484" t="s">
        <v>443</v>
      </c>
      <c r="AG108" s="485">
        <v>0.94</v>
      </c>
      <c r="AH108" s="485">
        <v>0.06</v>
      </c>
      <c r="AI108" s="485">
        <v>0</v>
      </c>
      <c r="AJ108" s="485">
        <v>0</v>
      </c>
      <c r="AK108" s="7"/>
      <c r="AL108" s="7"/>
      <c r="AM108" s="7"/>
      <c r="AN108" s="7"/>
      <c r="AO108" s="7"/>
      <c r="BK108" s="683"/>
      <c r="BL108" s="683"/>
    </row>
    <row r="109" spans="1:64">
      <c r="D109" s="422"/>
      <c r="F109" s="27"/>
      <c r="G109" s="7"/>
      <c r="AB109" s="1"/>
      <c r="AD109" s="7"/>
      <c r="AE109" s="7"/>
      <c r="AF109" s="7"/>
      <c r="AI109" s="7"/>
      <c r="AJ109" s="7"/>
      <c r="AK109" s="7"/>
      <c r="AL109" s="7"/>
      <c r="AM109" s="7"/>
      <c r="AN109" s="7"/>
      <c r="AO109" s="7"/>
      <c r="BK109" s="683"/>
      <c r="BL109" s="683"/>
    </row>
    <row r="110" spans="1:64">
      <c r="D110" s="422"/>
      <c r="F110" s="27"/>
      <c r="G110" s="7"/>
      <c r="AB110" s="1"/>
      <c r="AD110" s="7"/>
      <c r="AE110" s="7"/>
      <c r="AF110" s="7"/>
      <c r="AI110" s="7"/>
      <c r="AJ110" s="7"/>
      <c r="AK110" s="7"/>
      <c r="AL110" s="7"/>
      <c r="AM110" s="7"/>
      <c r="AN110" s="7"/>
      <c r="AO110" s="7"/>
      <c r="BK110" s="683"/>
      <c r="BL110" s="683"/>
    </row>
    <row r="111" spans="1:64" ht="14.25">
      <c r="A111" s="1"/>
      <c r="B111" s="1"/>
      <c r="C111" s="1"/>
      <c r="D111" s="17"/>
      <c r="E111" s="1"/>
      <c r="F111" s="1"/>
      <c r="G111" s="7"/>
      <c r="AB111" s="1"/>
      <c r="AD111" s="7"/>
      <c r="AE111" s="7"/>
      <c r="AF111" s="7"/>
      <c r="AI111" s="7"/>
      <c r="AJ111" s="7"/>
      <c r="AK111" s="7"/>
      <c r="AL111" s="7"/>
      <c r="AM111" s="7"/>
      <c r="AN111" s="7"/>
      <c r="AO111" s="7"/>
      <c r="BK111" s="683"/>
      <c r="BL111" s="683"/>
    </row>
    <row r="112" spans="1:64" ht="14.25">
      <c r="A112" s="1"/>
      <c r="B112" s="1"/>
      <c r="C112" s="1"/>
      <c r="D112" s="17"/>
      <c r="E112" s="1"/>
      <c r="F112" s="1"/>
      <c r="G112" s="7"/>
      <c r="AB112" s="1"/>
      <c r="AD112" s="7"/>
      <c r="AE112" s="7"/>
      <c r="AF112" s="7"/>
      <c r="AI112" s="7"/>
      <c r="AJ112" s="7"/>
      <c r="BK112" s="683"/>
      <c r="BL112" s="683"/>
    </row>
    <row r="113" spans="1:36" ht="14.25">
      <c r="A113" s="1"/>
      <c r="B113" s="1"/>
      <c r="C113" s="1"/>
      <c r="D113" s="17"/>
      <c r="E113" s="1"/>
      <c r="F113" s="1"/>
      <c r="G113" s="7"/>
      <c r="AB113" s="1"/>
      <c r="AD113" s="7"/>
      <c r="AE113" s="7"/>
      <c r="AF113" s="7"/>
      <c r="AI113" s="7"/>
      <c r="AJ113" s="7"/>
    </row>
    <row r="114" spans="1:36" ht="14.25">
      <c r="A114" s="1"/>
      <c r="B114" s="1"/>
      <c r="C114" s="1"/>
      <c r="D114" s="17"/>
      <c r="E114" s="1"/>
      <c r="F114" s="1"/>
      <c r="G114" s="7"/>
      <c r="AB114" s="1"/>
      <c r="AD114" s="7"/>
      <c r="AE114" s="7"/>
      <c r="AF114" s="7"/>
      <c r="AI114" s="7"/>
      <c r="AJ114" s="7"/>
    </row>
    <row r="115" spans="1:36" ht="14.25">
      <c r="A115" s="1"/>
      <c r="B115" s="1"/>
      <c r="C115" s="1"/>
      <c r="D115" s="17"/>
      <c r="E115" s="1"/>
      <c r="F115" s="1"/>
      <c r="G115" s="7"/>
      <c r="AB115" s="1"/>
      <c r="AD115" s="7"/>
      <c r="AE115" s="112"/>
      <c r="AF115" s="7"/>
      <c r="AI115" s="7"/>
      <c r="AJ115" s="7"/>
    </row>
    <row r="116" spans="1:36" ht="14.25">
      <c r="A116" s="1"/>
      <c r="B116" s="1"/>
      <c r="C116" s="1"/>
      <c r="D116" s="17"/>
      <c r="E116" s="1"/>
      <c r="F116" s="1"/>
      <c r="AB116" s="1"/>
    </row>
    <row r="117" spans="1:36" ht="14.25">
      <c r="A117" s="1"/>
      <c r="B117" s="1"/>
      <c r="C117" s="1"/>
      <c r="D117" s="17"/>
      <c r="E117" s="1"/>
      <c r="F117" s="1"/>
      <c r="AB117" s="1"/>
      <c r="AC117" s="7"/>
      <c r="AD117" s="113"/>
    </row>
    <row r="118" spans="1:36" ht="14.25">
      <c r="A118" s="1"/>
      <c r="B118" s="1"/>
      <c r="C118" s="1"/>
      <c r="D118" s="17"/>
      <c r="E118" s="1"/>
      <c r="F118" s="1"/>
      <c r="AB118" s="1"/>
      <c r="AC118" s="7"/>
      <c r="AD118" s="113"/>
    </row>
    <row r="119" spans="1:36" ht="14.25">
      <c r="A119" s="1"/>
      <c r="B119" s="1"/>
      <c r="C119" s="1"/>
      <c r="D119" s="17"/>
      <c r="E119" s="1"/>
      <c r="F119" s="1"/>
      <c r="AB119" s="1"/>
      <c r="AC119" s="7"/>
    </row>
    <row r="120" spans="1:36" ht="14.25">
      <c r="A120" s="1"/>
      <c r="B120" s="1"/>
      <c r="C120" s="1"/>
      <c r="D120" s="17"/>
      <c r="E120" s="1"/>
      <c r="F120" s="1"/>
      <c r="AB120" s="1"/>
      <c r="AC120" s="7"/>
    </row>
    <row r="121" spans="1:36" ht="14.25">
      <c r="A121" s="1"/>
      <c r="B121" s="1"/>
      <c r="C121" s="1"/>
      <c r="D121" s="17"/>
      <c r="E121" s="1"/>
      <c r="F121" s="1"/>
      <c r="AB121" s="1"/>
      <c r="AC121" s="7"/>
      <c r="AD121" s="7"/>
      <c r="AE121" s="7"/>
    </row>
    <row r="122" spans="1:36" ht="14.25">
      <c r="A122" s="1"/>
      <c r="B122" s="1"/>
      <c r="C122" s="1"/>
      <c r="D122" s="17"/>
      <c r="E122" s="1"/>
      <c r="F122" s="1"/>
      <c r="AB122" s="1"/>
      <c r="AC122" s="7"/>
    </row>
    <row r="123" spans="1:36" ht="14.25">
      <c r="A123" s="1"/>
      <c r="B123" s="1"/>
      <c r="C123" s="1"/>
      <c r="D123" s="17"/>
      <c r="E123" s="1"/>
      <c r="F123" s="1"/>
      <c r="AB123" s="1"/>
      <c r="AC123" s="7"/>
    </row>
    <row r="124" spans="1:36" ht="14.25">
      <c r="A124" s="1"/>
      <c r="B124" s="1"/>
      <c r="C124" s="1"/>
      <c r="D124" s="17"/>
      <c r="E124" s="1"/>
      <c r="F124" s="1"/>
      <c r="AB124" s="1"/>
      <c r="AC124" s="7"/>
    </row>
    <row r="125" spans="1:36" ht="14.25">
      <c r="A125" s="1"/>
      <c r="B125" s="1"/>
      <c r="C125" s="1"/>
      <c r="D125" s="17"/>
      <c r="E125" s="1"/>
      <c r="F125" s="1"/>
      <c r="AB125" s="1"/>
      <c r="AC125" s="7"/>
    </row>
    <row r="126" spans="1:36" ht="14.25">
      <c r="A126" s="1"/>
      <c r="B126" s="1"/>
      <c r="C126" s="1"/>
      <c r="D126" s="17"/>
      <c r="E126" s="1"/>
      <c r="F126" s="1"/>
      <c r="AC126" s="7"/>
    </row>
    <row r="127" spans="1:36" ht="14.25">
      <c r="A127" s="1"/>
      <c r="B127" s="1"/>
      <c r="C127" s="1"/>
      <c r="D127" s="17"/>
      <c r="E127" s="1"/>
      <c r="F127" s="1"/>
      <c r="AC127" s="7"/>
    </row>
    <row r="128" spans="1:36" ht="14.25">
      <c r="A128" s="1"/>
      <c r="B128" s="1"/>
      <c r="C128" s="1"/>
      <c r="D128" s="17"/>
      <c r="E128" s="1"/>
      <c r="F128" s="1"/>
      <c r="AB128" s="1"/>
      <c r="AC128" s="7"/>
    </row>
    <row r="129" spans="1:29" ht="14.25">
      <c r="A129" s="1"/>
      <c r="B129" s="1"/>
      <c r="C129" s="1"/>
      <c r="D129" s="17"/>
      <c r="E129" s="1"/>
      <c r="F129" s="1"/>
      <c r="AB129" s="1"/>
      <c r="AC129" s="7"/>
    </row>
    <row r="130" spans="1:29" ht="14.25">
      <c r="A130" s="1"/>
      <c r="B130" s="1"/>
      <c r="C130" s="1"/>
      <c r="D130" s="17"/>
      <c r="E130" s="1"/>
      <c r="F130" s="1"/>
      <c r="AB130" s="1"/>
      <c r="AC130" s="7"/>
    </row>
    <row r="131" spans="1:29" ht="14.25">
      <c r="A131" s="1"/>
      <c r="B131" s="1"/>
      <c r="C131" s="1"/>
      <c r="D131" s="17"/>
      <c r="E131" s="1"/>
      <c r="F131" s="1"/>
      <c r="AB131" s="1"/>
      <c r="AC131" s="7"/>
    </row>
    <row r="132" spans="1:29" ht="14.25">
      <c r="A132" s="1"/>
      <c r="B132" s="1"/>
      <c r="C132" s="1"/>
      <c r="D132" s="17"/>
      <c r="E132" s="1"/>
      <c r="F132" s="1"/>
      <c r="AB132" s="1"/>
      <c r="AC132" s="7"/>
    </row>
    <row r="133" spans="1:29" ht="14.25">
      <c r="A133" s="1"/>
      <c r="B133" s="1"/>
      <c r="C133" s="1"/>
      <c r="D133" s="17"/>
      <c r="E133" s="1"/>
      <c r="F133" s="1"/>
      <c r="AB133" s="1"/>
      <c r="AC133" s="7"/>
    </row>
    <row r="134" spans="1:29" ht="14.25">
      <c r="A134" s="1"/>
      <c r="B134" s="1"/>
      <c r="C134" s="1"/>
      <c r="D134" s="17"/>
      <c r="E134" s="1"/>
      <c r="F134" s="1"/>
      <c r="AB134" s="1"/>
      <c r="AC134" s="7"/>
    </row>
    <row r="135" spans="1:29" ht="14.25">
      <c r="A135" s="1"/>
      <c r="B135" s="1"/>
      <c r="C135" s="1"/>
      <c r="D135" s="17"/>
      <c r="E135" s="1"/>
      <c r="F135" s="1"/>
      <c r="AB135" s="1"/>
      <c r="AC135" s="7"/>
    </row>
    <row r="136" spans="1:29" ht="14.25">
      <c r="A136" s="1"/>
      <c r="B136" s="1"/>
      <c r="C136" s="1"/>
      <c r="D136" s="17"/>
      <c r="E136" s="1"/>
      <c r="F136" s="1"/>
      <c r="AB136" s="1"/>
      <c r="AC136" s="7"/>
    </row>
    <row r="137" spans="1:29" ht="14.25">
      <c r="A137" s="1"/>
      <c r="B137" s="1"/>
      <c r="C137" s="1"/>
      <c r="D137" s="17"/>
      <c r="E137" s="1"/>
      <c r="F137" s="1"/>
      <c r="AB137" s="1"/>
      <c r="AC137" s="7"/>
    </row>
    <row r="138" spans="1:29" ht="14.25">
      <c r="A138" s="1"/>
      <c r="B138" s="1"/>
      <c r="C138" s="1"/>
      <c r="D138" s="17"/>
      <c r="E138" s="1"/>
      <c r="F138" s="1"/>
      <c r="AB138" s="1"/>
      <c r="AC138" s="7"/>
    </row>
    <row r="139" spans="1:29">
      <c r="AB139" s="1"/>
      <c r="AC139" s="7"/>
    </row>
    <row r="141" spans="1:29" ht="14.25">
      <c r="A141" s="1"/>
      <c r="B141" s="1"/>
      <c r="C141" s="1"/>
      <c r="D141" s="17"/>
      <c r="E141" s="1"/>
      <c r="F141" s="1"/>
    </row>
    <row r="142" spans="1:29" ht="14.25">
      <c r="A142" s="1"/>
      <c r="B142" s="1"/>
      <c r="C142" s="1"/>
      <c r="D142" s="17"/>
      <c r="E142" s="1"/>
      <c r="F142" s="1"/>
      <c r="AB142" s="1"/>
      <c r="AC142" s="113"/>
    </row>
    <row r="143" spans="1:29">
      <c r="AB143" s="1"/>
      <c r="AC143" s="113"/>
    </row>
  </sheetData>
  <mergeCells count="9">
    <mergeCell ref="Q55:R55"/>
    <mergeCell ref="J15:K15"/>
    <mergeCell ref="L15:M15"/>
    <mergeCell ref="N15:O16"/>
    <mergeCell ref="P15:Q16"/>
    <mergeCell ref="J16:K16"/>
    <mergeCell ref="L16:M16"/>
    <mergeCell ref="O54:R54"/>
    <mergeCell ref="O55:P55"/>
  </mergeCells>
  <phoneticPr fontId="0" type="noConversion"/>
  <conditionalFormatting sqref="D54:D86">
    <cfRule type="cellIs" dxfId="15" priority="24" operator="equal">
      <formula>-0.015</formula>
    </cfRule>
    <cfRule type="cellIs" dxfId="14" priority="25" operator="equal">
      <formula>0.015</formula>
    </cfRule>
    <cfRule type="cellIs" dxfId="13" priority="26" operator="notBetween">
      <formula>-0.015</formula>
      <formula>0.015</formula>
    </cfRule>
  </conditionalFormatting>
  <conditionalFormatting sqref="D6:D8 D21:D51">
    <cfRule type="cellIs" dxfId="12" priority="27" operator="equal">
      <formula>-0.05</formula>
    </cfRule>
    <cfRule type="cellIs" dxfId="11" priority="28" operator="equal">
      <formula>0.05</formula>
    </cfRule>
    <cfRule type="cellIs" dxfId="10" priority="29" operator="notBetween">
      <formula>-0.05</formula>
      <formula>0.05</formula>
    </cfRule>
  </conditionalFormatting>
  <conditionalFormatting sqref="D9:D19">
    <cfRule type="cellIs" dxfId="9" priority="8" operator="notBetween">
      <formula>-0.015</formula>
      <formula>0.015</formula>
    </cfRule>
    <cfRule type="cellIs" dxfId="8" priority="9" operator="equal">
      <formula>0.015</formula>
    </cfRule>
    <cfRule type="cellIs" dxfId="7" priority="10" operator="equal">
      <formula>-0.015</formula>
    </cfRule>
  </conditionalFormatting>
  <conditionalFormatting sqref="D20">
    <cfRule type="cellIs" dxfId="6" priority="5" operator="notBetween">
      <formula>-0.01</formula>
      <formula>0.01</formula>
    </cfRule>
    <cfRule type="cellIs" dxfId="5" priority="6" operator="equal">
      <formula>-0.01</formula>
    </cfRule>
    <cfRule type="cellIs" dxfId="4" priority="7" operator="equal">
      <formula>0.01</formula>
    </cfRule>
  </conditionalFormatting>
  <conditionalFormatting sqref="G127:G361">
    <cfRule type="cellIs" dxfId="3" priority="3" operator="lessThan">
      <formula>0</formula>
    </cfRule>
    <cfRule type="cellIs" dxfId="2" priority="4" operator="greaterThan">
      <formula>0</formula>
    </cfRule>
  </conditionalFormatting>
  <conditionalFormatting sqref="BL3:BL112">
    <cfRule type="cellIs" dxfId="1" priority="2" operator="greaterThan">
      <formula>0</formula>
    </cfRule>
  </conditionalFormatting>
  <conditionalFormatting sqref="BK3:BK112">
    <cfRule type="cellIs" dxfId="0" priority="1" operator="lessThan">
      <formula>0</formula>
    </cfRule>
  </conditionalFormatting>
  <hyperlinks>
    <hyperlink ref="AL36" r:id="rId1" display="http://srvapp05.osinerg.gob.pe/portal/server.pt/gateway/PTARGS_0_2253286_0_0_18/000333_Reg_000100_Platts_Metals_Week.pdf"/>
    <hyperlink ref="AL26" r:id="rId2" display="http://srvapp05.osinerg.gob.pe/portal/server.pt/gateway/PTARGS_0_2253271_0_0_18/000333_Reg_000095_Platts_Metals_Week.pdf"/>
    <hyperlink ref="AL27" r:id="rId3" display="http://srvapp05.osinerg.gob.pe/portal/server.pt/gateway/PTARGS_0_1508819_0_0_18/000333_Reg_007754_Platts_Metals_Week.pdf"/>
    <hyperlink ref="AL32" r:id="rId4" display="http://srvapp05.osinerg.gob.pe/portal/server.pt/gateway/PTARGS_0_2252321_0_0_18/000333_Reg_000009_Platts_Metal_Week.pdf"/>
    <hyperlink ref="AL35" r:id="rId5" display="http://srvapp05.osinerg.gob.pe/portal/server.pt/gateway/PTARGS_0_2252324_0_0_18/000333_Reg_000010_Platts_Metal_Week.pdf"/>
    <hyperlink ref="AL23" r:id="rId6" display="http://srvapp05.osinerg.gob.pe/portal/server.pt/gateway/PTARGS_0_2253268_0_0_18/000333_Reg_000094_Platts_Metals_Week.pdf"/>
    <hyperlink ref="AL22" r:id="rId7" display="http://srvapp05.osinerg.gob.pe/portal/server.pt/gateway/PTARGS_0_2253265_0_0_18/000333_Reg_000093_Platts_Metals_Week.pdf"/>
    <hyperlink ref="AL56" r:id="rId8" display="http://srvapp05.osinerg.gob.pe/portal/server.pt/gateway/PTARGS_0_2253274_0_0_18/000333_Reg_000096_Platts_Metals_Week.pdf"/>
    <hyperlink ref="AL55" r:id="rId9" display="http://srvapp05.osinerg.gob.pe/portal/server.pt/gateway/PTARGS_0_1312389_0_0_18/000333_Reg_007528_Platts_Metals_Week.pdf"/>
    <hyperlink ref="AG54" r:id="rId10" display="http://srvapp05.osinerg.gob.pe/portal/server.pt/gateway/PTARGS_0_2253268_0_0_18/000333_Reg_000094_Platts_Metals_Week.pdf"/>
  </hyperlinks>
  <printOptions horizontalCentered="1"/>
  <pageMargins left="0.23622047244094491" right="0.19685039370078741" top="0.55118110236220474" bottom="0.15748031496062992" header="0" footer="0"/>
  <pageSetup paperSize="8" scale="65" orientation="landscape" r:id="rId11"/>
  <headerFooter alignWithMargins="0">
    <oddFooter>&amp;RPágina &amp;P de &amp;N</oddFooter>
  </headerFooter>
  <rowBreaks count="1" manualBreakCount="1">
    <brk id="52" max="70" man="1"/>
  </rowBreaks>
  <colBreaks count="3" manualBreakCount="3">
    <brk id="6" max="1048575" man="1"/>
    <brk id="28" max="1048575" man="1"/>
    <brk id="42" max="1048575" man="1"/>
  </colBreaks>
  <ignoredErrors>
    <ignoredError sqref="AJ30" unlockedFormula="1"/>
  </ignoredErrors>
  <drawing r:id="rId12"/>
  <legacyDrawing r:id="rId13"/>
  <oleObjects>
    <mc:AlternateContent xmlns:mc="http://schemas.openxmlformats.org/markup-compatibility/2006">
      <mc:Choice Requires="x14">
        <oleObject progId="Equation.3" shapeId="3092" r:id="rId14">
          <objectPr defaultSize="0" autoPict="0" r:id="rId15">
            <anchor moveWithCells="1" sizeWithCells="1">
              <from>
                <xdr:col>29</xdr:col>
                <xdr:colOff>104775</xdr:colOff>
                <xdr:row>41</xdr:row>
                <xdr:rowOff>180975</xdr:rowOff>
              </from>
              <to>
                <xdr:col>30</xdr:col>
                <xdr:colOff>838200</xdr:colOff>
                <xdr:row>44</xdr:row>
                <xdr:rowOff>171450</xdr:rowOff>
              </to>
            </anchor>
          </objectPr>
        </oleObject>
      </mc:Choice>
      <mc:Fallback>
        <oleObject progId="Equation.3" shapeId="3092" r:id="rId14"/>
      </mc:Fallback>
    </mc:AlternateContent>
    <mc:AlternateContent xmlns:mc="http://schemas.openxmlformats.org/markup-compatibility/2006">
      <mc:Choice Requires="x14">
        <oleObject progId="Equation.3" shapeId="3215" r:id="rId16">
          <objectPr defaultSize="0" autoPict="0" r:id="rId17">
            <anchor moveWithCells="1" sizeWithCells="1">
              <from>
                <xdr:col>28</xdr:col>
                <xdr:colOff>95250</xdr:colOff>
                <xdr:row>56</xdr:row>
                <xdr:rowOff>142875</xdr:rowOff>
              </from>
              <to>
                <xdr:col>33</xdr:col>
                <xdr:colOff>857250</xdr:colOff>
                <xdr:row>59</xdr:row>
                <xdr:rowOff>104775</xdr:rowOff>
              </to>
            </anchor>
          </objectPr>
        </oleObject>
      </mc:Choice>
      <mc:Fallback>
        <oleObject progId="Equation.3" shapeId="3215" r:id="rId16"/>
      </mc:Fallback>
    </mc:AlternateContent>
    <mc:AlternateContent xmlns:mc="http://schemas.openxmlformats.org/markup-compatibility/2006">
      <mc:Choice Requires="x14">
        <oleObject progId="Equation.3" shapeId="3216" r:id="rId18">
          <objectPr defaultSize="0" autoPict="0" r:id="rId19">
            <anchor moveWithCells="1" sizeWithCells="1">
              <from>
                <xdr:col>29</xdr:col>
                <xdr:colOff>9525</xdr:colOff>
                <xdr:row>67</xdr:row>
                <xdr:rowOff>219075</xdr:rowOff>
              </from>
              <to>
                <xdr:col>33</xdr:col>
                <xdr:colOff>742950</xdr:colOff>
                <xdr:row>70</xdr:row>
                <xdr:rowOff>142875</xdr:rowOff>
              </to>
            </anchor>
          </objectPr>
        </oleObject>
      </mc:Choice>
      <mc:Fallback>
        <oleObject progId="Equation.3" shapeId="3216" r:id="rId18"/>
      </mc:Fallback>
    </mc:AlternateContent>
    <mc:AlternateContent xmlns:mc="http://schemas.openxmlformats.org/markup-compatibility/2006">
      <mc:Choice Requires="x14">
        <oleObject progId="Equation.3" shapeId="3217" r:id="rId20">
          <objectPr defaultSize="0" autoPict="0" r:id="rId21">
            <anchor moveWithCells="1" sizeWithCells="1">
              <from>
                <xdr:col>29</xdr:col>
                <xdr:colOff>0</xdr:colOff>
                <xdr:row>76</xdr:row>
                <xdr:rowOff>200025</xdr:rowOff>
              </from>
              <to>
                <xdr:col>33</xdr:col>
                <xdr:colOff>733425</xdr:colOff>
                <xdr:row>79</xdr:row>
                <xdr:rowOff>114300</xdr:rowOff>
              </to>
            </anchor>
          </objectPr>
        </oleObject>
      </mc:Choice>
      <mc:Fallback>
        <oleObject progId="Equation.3" shapeId="3217" r:id="rId20"/>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A1:V177"/>
  <sheetViews>
    <sheetView showGridLines="0" zoomScaleNormal="100" workbookViewId="0"/>
  </sheetViews>
  <sheetFormatPr baseColWidth="10" defaultRowHeight="15"/>
  <cols>
    <col min="2" max="2" width="26.109375" customWidth="1"/>
    <col min="3" max="3" width="27.5546875" customWidth="1"/>
    <col min="5" max="5" width="17.44140625" customWidth="1"/>
    <col min="6" max="6" width="20.5546875" customWidth="1"/>
    <col min="7" max="7" width="19.77734375" customWidth="1"/>
    <col min="8" max="8" width="15.44140625" customWidth="1"/>
    <col min="9" max="9" width="14.5546875" customWidth="1"/>
    <col min="10" max="10" width="16.109375" customWidth="1"/>
    <col min="11" max="11" width="14" customWidth="1"/>
    <col min="12" max="12" width="16.109375" customWidth="1"/>
    <col min="13" max="14" width="13" bestFit="1" customWidth="1"/>
    <col min="15" max="15" width="22.109375" customWidth="1"/>
    <col min="16" max="16" width="31.33203125" customWidth="1"/>
    <col min="17" max="18" width="22.109375" customWidth="1"/>
  </cols>
  <sheetData>
    <row r="1" spans="1:22" ht="26.25">
      <c r="A1" s="520" t="s">
        <v>453</v>
      </c>
      <c r="B1" s="518"/>
      <c r="C1" s="463"/>
      <c r="D1" s="463"/>
      <c r="E1" s="463"/>
      <c r="F1" s="463"/>
      <c r="G1" s="463"/>
      <c r="H1" s="463"/>
      <c r="I1" s="463"/>
      <c r="J1" s="463"/>
      <c r="K1" s="463"/>
      <c r="L1" s="463"/>
    </row>
    <row r="2" spans="1:22" ht="26.25">
      <c r="B2" s="507"/>
      <c r="C2" s="463"/>
      <c r="D2" s="463"/>
      <c r="E2" s="463"/>
      <c r="F2" s="463"/>
      <c r="G2" s="463"/>
      <c r="H2" s="463"/>
      <c r="I2" s="463"/>
      <c r="J2" s="463"/>
      <c r="K2" s="463"/>
      <c r="L2" s="463"/>
      <c r="M2" s="463"/>
      <c r="N2" s="463"/>
      <c r="O2" s="463"/>
      <c r="P2" s="463"/>
      <c r="Q2" s="463"/>
      <c r="R2" s="463"/>
      <c r="S2" s="463"/>
      <c r="T2" s="463"/>
      <c r="U2" s="463"/>
      <c r="V2" s="463"/>
    </row>
    <row r="3" spans="1:22" ht="23.25">
      <c r="B3" s="521" t="s">
        <v>242</v>
      </c>
    </row>
    <row r="4" spans="1:22" ht="15" customHeight="1">
      <c r="B4" s="714" t="s">
        <v>565</v>
      </c>
      <c r="C4" s="714"/>
      <c r="D4" s="714"/>
      <c r="E4" s="714"/>
      <c r="F4" s="714"/>
    </row>
    <row r="5" spans="1:22" ht="15" customHeight="1" thickBot="1">
      <c r="B5" s="208" t="str">
        <f>+CONCATENATE("Actualizado al ",TEXT(Historico!O3,"dd/mmmm/yyyy"))</f>
        <v>Actualizado al 04/septiembre/2012</v>
      </c>
      <c r="C5" s="209"/>
      <c r="D5" s="209"/>
      <c r="E5" s="209"/>
    </row>
    <row r="6" spans="1:22" ht="15.75">
      <c r="B6" s="338" t="s">
        <v>118</v>
      </c>
      <c r="C6" s="339"/>
      <c r="D6" s="715" t="s">
        <v>371</v>
      </c>
      <c r="E6" s="716"/>
      <c r="F6" s="717"/>
    </row>
    <row r="7" spans="1:22" ht="15.75">
      <c r="B7" s="340"/>
      <c r="C7" s="341"/>
      <c r="D7" s="342" t="s">
        <v>119</v>
      </c>
      <c r="E7" s="195" t="s">
        <v>120</v>
      </c>
      <c r="F7" s="343" t="s">
        <v>121</v>
      </c>
    </row>
    <row r="8" spans="1:22">
      <c r="B8" s="712" t="s">
        <v>27</v>
      </c>
      <c r="C8" s="713"/>
      <c r="D8" s="358">
        <v>0.89</v>
      </c>
      <c r="E8" s="661">
        <f>ROUND(VLOOKUP(B8,Factores!$A$23:$F$30,6,FALSE),4)</f>
        <v>0.9899</v>
      </c>
      <c r="F8" s="345">
        <f>ROUND(D8*E8,2)</f>
        <v>0.88</v>
      </c>
      <c r="H8" s="279"/>
      <c r="I8" s="279"/>
      <c r="J8" s="279"/>
      <c r="K8" s="279"/>
    </row>
    <row r="9" spans="1:22">
      <c r="B9" s="712" t="s">
        <v>30</v>
      </c>
      <c r="C9" s="713"/>
      <c r="D9" s="344">
        <v>0.01</v>
      </c>
      <c r="E9" s="661">
        <f>ROUND(VLOOKUP(B9,Factores!$A$23:$F$30,6,FALSE),4)</f>
        <v>0.99560000000000004</v>
      </c>
      <c r="F9" s="345">
        <f t="shared" ref="F9:F31" si="0">ROUND(D9*E9,2)</f>
        <v>0.01</v>
      </c>
    </row>
    <row r="10" spans="1:22">
      <c r="B10" s="712" t="s">
        <v>29</v>
      </c>
      <c r="C10" s="713"/>
      <c r="D10" s="344">
        <v>0.01</v>
      </c>
      <c r="E10" s="661">
        <f>ROUND(VLOOKUP(B10,Factores!$A$23:$F$30,6,FALSE),4)</f>
        <v>0.99650000000000005</v>
      </c>
      <c r="F10" s="345">
        <f t="shared" si="0"/>
        <v>0.01</v>
      </c>
    </row>
    <row r="11" spans="1:22">
      <c r="B11" s="712" t="s">
        <v>28</v>
      </c>
      <c r="C11" s="713"/>
      <c r="D11" s="344">
        <v>0.12</v>
      </c>
      <c r="E11" s="661">
        <f>ROUND(VLOOKUP(B11,Factores!$A$23:$F$30,6,FALSE),4)</f>
        <v>1.1040000000000001</v>
      </c>
      <c r="F11" s="345">
        <f t="shared" si="0"/>
        <v>0.13</v>
      </c>
    </row>
    <row r="12" spans="1:22">
      <c r="B12" s="712" t="s">
        <v>122</v>
      </c>
      <c r="C12" s="713"/>
      <c r="D12" s="344">
        <v>0.55000000000000004</v>
      </c>
      <c r="E12" s="661">
        <f>ROUND(VLOOKUP(B12,Factores!$A$23:$F$30,6,FALSE),4)</f>
        <v>0.9899</v>
      </c>
      <c r="F12" s="345">
        <f t="shared" si="0"/>
        <v>0.54</v>
      </c>
    </row>
    <row r="13" spans="1:22">
      <c r="B13" s="712" t="s">
        <v>123</v>
      </c>
      <c r="C13" s="713"/>
      <c r="D13" s="344">
        <v>1.86</v>
      </c>
      <c r="E13" s="661">
        <f>ROUND(VLOOKUP(B13,Factores!$A$23:$F$30,6,FALSE),4)</f>
        <v>0.9899</v>
      </c>
      <c r="F13" s="345">
        <f t="shared" si="0"/>
        <v>1.84</v>
      </c>
    </row>
    <row r="14" spans="1:22">
      <c r="B14" s="712" t="s">
        <v>124</v>
      </c>
      <c r="C14" s="713"/>
      <c r="D14" s="344">
        <v>0.38</v>
      </c>
      <c r="E14" s="661">
        <f>ROUND(VLOOKUP(B14,Factores!$A$23:$F$30,6,FALSE),4)</f>
        <v>0.9899</v>
      </c>
      <c r="F14" s="345">
        <f t="shared" si="0"/>
        <v>0.38</v>
      </c>
    </row>
    <row r="15" spans="1:22" ht="15" customHeight="1">
      <c r="B15" s="712" t="s">
        <v>528</v>
      </c>
      <c r="C15" s="713"/>
      <c r="D15" s="344">
        <v>0.2</v>
      </c>
      <c r="E15" s="662">
        <f>Factores!F6*550.204/550.204</f>
        <v>0.99259999999999993</v>
      </c>
      <c r="F15" s="345">
        <f t="shared" si="0"/>
        <v>0.2</v>
      </c>
    </row>
    <row r="16" spans="1:22">
      <c r="B16" s="712" t="s">
        <v>529</v>
      </c>
      <c r="C16" s="713"/>
      <c r="D16" s="344">
        <v>2.0099999999999998</v>
      </c>
      <c r="E16" s="663">
        <v>1.0972</v>
      </c>
      <c r="F16" s="345">
        <f t="shared" si="0"/>
        <v>2.21</v>
      </c>
    </row>
    <row r="17" spans="2:12">
      <c r="B17" s="712" t="s">
        <v>530</v>
      </c>
      <c r="C17" s="713"/>
      <c r="D17" s="344">
        <v>0</v>
      </c>
      <c r="E17" s="663">
        <v>0</v>
      </c>
      <c r="F17" s="345">
        <f t="shared" si="0"/>
        <v>0</v>
      </c>
    </row>
    <row r="18" spans="2:12">
      <c r="B18" s="622" t="s">
        <v>531</v>
      </c>
      <c r="C18" s="337" t="s">
        <v>243</v>
      </c>
      <c r="D18" s="344">
        <v>0.02</v>
      </c>
      <c r="E18" s="663">
        <v>0</v>
      </c>
      <c r="F18" s="345">
        <f t="shared" ref="F18:F30" si="1">ROUND(D18*E18,2)</f>
        <v>0</v>
      </c>
    </row>
    <row r="19" spans="2:12">
      <c r="B19" s="623"/>
      <c r="C19" s="337" t="s">
        <v>372</v>
      </c>
      <c r="D19" s="344">
        <v>0.03</v>
      </c>
      <c r="E19" s="663">
        <v>1</v>
      </c>
      <c r="F19" s="345">
        <f t="shared" si="1"/>
        <v>0.03</v>
      </c>
    </row>
    <row r="20" spans="2:12">
      <c r="B20" s="623"/>
      <c r="C20" s="337" t="s">
        <v>373</v>
      </c>
      <c r="D20" s="344">
        <v>0.02</v>
      </c>
      <c r="E20" s="663">
        <v>1</v>
      </c>
      <c r="F20" s="345">
        <f>ROUND(D20*E20,2)</f>
        <v>0.02</v>
      </c>
    </row>
    <row r="21" spans="2:12">
      <c r="B21" s="623"/>
      <c r="C21" s="337" t="s">
        <v>244</v>
      </c>
      <c r="D21" s="344">
        <v>0.04</v>
      </c>
      <c r="E21" s="663">
        <v>1.25</v>
      </c>
      <c r="F21" s="345">
        <f t="shared" si="1"/>
        <v>0.05</v>
      </c>
    </row>
    <row r="22" spans="2:12" ht="15" customHeight="1">
      <c r="B22" s="623"/>
      <c r="C22" s="337" t="s">
        <v>251</v>
      </c>
      <c r="D22" s="344">
        <v>0.02</v>
      </c>
      <c r="E22" s="663">
        <v>0</v>
      </c>
      <c r="F22" s="345">
        <f t="shared" si="1"/>
        <v>0</v>
      </c>
    </row>
    <row r="23" spans="2:12">
      <c r="B23" s="623"/>
      <c r="C23" s="337" t="s">
        <v>245</v>
      </c>
      <c r="D23" s="344">
        <v>0.12</v>
      </c>
      <c r="E23" s="663">
        <v>1</v>
      </c>
      <c r="F23" s="345">
        <f t="shared" si="1"/>
        <v>0.12</v>
      </c>
    </row>
    <row r="24" spans="2:12">
      <c r="B24" s="623"/>
      <c r="C24" s="337" t="s">
        <v>246</v>
      </c>
      <c r="D24" s="344">
        <v>0.03</v>
      </c>
      <c r="E24" s="663">
        <v>1</v>
      </c>
      <c r="F24" s="345">
        <f t="shared" si="1"/>
        <v>0.03</v>
      </c>
    </row>
    <row r="25" spans="2:12">
      <c r="B25" s="623"/>
      <c r="C25" s="337" t="s">
        <v>247</v>
      </c>
      <c r="D25" s="344">
        <v>0.03</v>
      </c>
      <c r="E25" s="663">
        <v>2.3332999999999999</v>
      </c>
      <c r="F25" s="345">
        <f t="shared" si="1"/>
        <v>7.0000000000000007E-2</v>
      </c>
      <c r="L25" s="207"/>
    </row>
    <row r="26" spans="2:12">
      <c r="B26" s="623"/>
      <c r="C26" s="603" t="s">
        <v>520</v>
      </c>
      <c r="D26" s="344">
        <v>0.14000000000000001</v>
      </c>
      <c r="E26" s="663">
        <v>0.92859999999999998</v>
      </c>
      <c r="F26" s="345">
        <f t="shared" si="1"/>
        <v>0.13</v>
      </c>
      <c r="L26" s="207"/>
    </row>
    <row r="27" spans="2:12">
      <c r="B27" s="623"/>
      <c r="C27" s="337" t="s">
        <v>374</v>
      </c>
      <c r="D27" s="344">
        <v>0.01</v>
      </c>
      <c r="E27" s="663">
        <v>0</v>
      </c>
      <c r="F27" s="345">
        <f t="shared" si="1"/>
        <v>0</v>
      </c>
      <c r="L27" s="207"/>
    </row>
    <row r="28" spans="2:12">
      <c r="B28" s="624"/>
      <c r="C28" s="619" t="s">
        <v>521</v>
      </c>
      <c r="D28" s="620">
        <v>0.05</v>
      </c>
      <c r="E28" s="664">
        <v>0.8</v>
      </c>
      <c r="F28" s="621">
        <f t="shared" si="1"/>
        <v>0.04</v>
      </c>
      <c r="L28" s="207"/>
    </row>
    <row r="29" spans="2:12">
      <c r="B29" s="624"/>
      <c r="C29" s="619" t="s">
        <v>522</v>
      </c>
      <c r="D29" s="620">
        <v>0.05</v>
      </c>
      <c r="E29" s="664">
        <v>0.8</v>
      </c>
      <c r="F29" s="621">
        <f t="shared" si="1"/>
        <v>0.04</v>
      </c>
      <c r="L29" s="207"/>
    </row>
    <row r="30" spans="2:12">
      <c r="B30" s="625"/>
      <c r="C30" s="619" t="s">
        <v>523</v>
      </c>
      <c r="D30" s="620">
        <v>0.03</v>
      </c>
      <c r="E30" s="664">
        <v>0.66669999999999996</v>
      </c>
      <c r="F30" s="621">
        <f t="shared" si="1"/>
        <v>0.02</v>
      </c>
      <c r="L30" s="207"/>
    </row>
    <row r="31" spans="2:12" ht="15.75" thickBot="1">
      <c r="B31" s="631" t="s">
        <v>526</v>
      </c>
      <c r="C31" s="346" t="s">
        <v>248</v>
      </c>
      <c r="D31" s="347">
        <v>1.45</v>
      </c>
      <c r="E31" s="665">
        <v>0.97240000000000004</v>
      </c>
      <c r="F31" s="348">
        <f t="shared" si="0"/>
        <v>1.41</v>
      </c>
      <c r="L31" s="207"/>
    </row>
    <row r="32" spans="2:12" ht="15.75" customHeight="1">
      <c r="B32" s="628" t="s">
        <v>524</v>
      </c>
      <c r="C32" s="626"/>
      <c r="D32" s="355">
        <v>0.38</v>
      </c>
      <c r="E32" s="666">
        <f>+Factores!F30</f>
        <v>0.9899</v>
      </c>
      <c r="F32" s="356">
        <f>ROUND(D32*E32,2)</f>
        <v>0.38</v>
      </c>
      <c r="L32" s="207"/>
    </row>
    <row r="33" spans="2:14" ht="15" customHeight="1">
      <c r="B33" s="629" t="s">
        <v>525</v>
      </c>
      <c r="C33" s="627"/>
      <c r="D33" s="344">
        <v>0.67</v>
      </c>
      <c r="E33" s="661">
        <f>+E32</f>
        <v>0.9899</v>
      </c>
      <c r="F33" s="344">
        <f>ROUND(D33*E33,2)</f>
        <v>0.66</v>
      </c>
      <c r="L33" s="207"/>
    </row>
    <row r="34" spans="2:14" s="354" customFormat="1" ht="54" customHeight="1">
      <c r="B34" s="196"/>
      <c r="C34"/>
      <c r="D34" s="349">
        <f>SUM(D8:D33)</f>
        <v>9.1199999999999992</v>
      </c>
      <c r="E34" s="197"/>
      <c r="F34" s="315">
        <f>SUM(F8:F33)</f>
        <v>9.2000000000000011</v>
      </c>
      <c r="G34"/>
      <c r="H34" s="630"/>
      <c r="J34"/>
      <c r="K34" s="357" t="s">
        <v>383</v>
      </c>
      <c r="L34" s="207"/>
      <c r="M34"/>
      <c r="N34"/>
    </row>
    <row r="35" spans="2:14">
      <c r="B35" s="711" t="s">
        <v>527</v>
      </c>
      <c r="C35" s="711"/>
      <c r="D35" s="711"/>
      <c r="E35" s="711"/>
      <c r="F35" s="711"/>
      <c r="L35" s="207"/>
    </row>
    <row r="36" spans="2:14" ht="15" customHeight="1">
      <c r="B36" s="387"/>
      <c r="C36" s="387"/>
      <c r="D36" s="387"/>
      <c r="E36" s="387"/>
      <c r="F36" s="387"/>
      <c r="I36" s="231"/>
      <c r="J36" s="231"/>
      <c r="K36" s="231"/>
    </row>
    <row r="37" spans="2:14" ht="23.25">
      <c r="B37" s="521" t="s">
        <v>252</v>
      </c>
      <c r="I37" s="231"/>
      <c r="J37" s="231"/>
      <c r="K37" s="231"/>
    </row>
    <row r="38" spans="2:14" ht="15" customHeight="1">
      <c r="B38" s="710" t="s">
        <v>566</v>
      </c>
      <c r="C38" s="710"/>
      <c r="D38" s="710"/>
      <c r="E38" s="710"/>
      <c r="F38" s="710"/>
      <c r="G38" s="710"/>
      <c r="I38" s="231"/>
      <c r="J38" s="231"/>
      <c r="K38" s="231"/>
    </row>
    <row r="39" spans="2:14">
      <c r="B39" s="208" t="str">
        <f>+CONCATENATE("Actualizado al ",TEXT(Historico!O3,"dd/mmmm/yyyy"))</f>
        <v>Actualizado al 04/septiembre/2012</v>
      </c>
      <c r="C39" s="209"/>
      <c r="D39" s="209"/>
      <c r="E39" s="209"/>
      <c r="I39" s="231"/>
      <c r="J39" s="231"/>
      <c r="K39" s="231"/>
    </row>
    <row r="40" spans="2:14">
      <c r="B40" s="210" t="s">
        <v>253</v>
      </c>
      <c r="C40" s="210" t="s">
        <v>119</v>
      </c>
      <c r="D40" s="210" t="s">
        <v>254</v>
      </c>
      <c r="E40" s="210" t="s">
        <v>121</v>
      </c>
      <c r="F40" s="211" t="s">
        <v>255</v>
      </c>
      <c r="G40" s="211" t="s">
        <v>256</v>
      </c>
      <c r="I40" s="231"/>
      <c r="J40" s="231"/>
      <c r="K40" s="231"/>
    </row>
    <row r="41" spans="2:14">
      <c r="B41" s="388">
        <v>1</v>
      </c>
      <c r="C41" s="271">
        <v>1.1954</v>
      </c>
      <c r="D41" s="389"/>
      <c r="E41" s="390">
        <f>+I64</f>
        <v>1.3713</v>
      </c>
      <c r="F41" s="391" t="s">
        <v>257</v>
      </c>
      <c r="G41" s="391" t="s">
        <v>258</v>
      </c>
      <c r="I41" s="231"/>
      <c r="J41" s="231"/>
      <c r="K41" s="231"/>
    </row>
    <row r="42" spans="2:14">
      <c r="B42" s="388">
        <v>2</v>
      </c>
      <c r="C42" s="271">
        <v>1.778</v>
      </c>
      <c r="D42" s="392"/>
      <c r="E42" s="390">
        <f>+I69</f>
        <v>1.4171999999999998</v>
      </c>
      <c r="F42" s="391" t="s">
        <v>259</v>
      </c>
      <c r="G42" s="391" t="s">
        <v>260</v>
      </c>
      <c r="I42" s="231"/>
      <c r="J42" s="231"/>
      <c r="K42" s="231"/>
    </row>
    <row r="43" spans="2:14">
      <c r="B43" s="388">
        <v>3</v>
      </c>
      <c r="C43" s="271">
        <v>1.0618000000000001</v>
      </c>
      <c r="D43" s="392"/>
      <c r="E43" s="390">
        <f>+I74</f>
        <v>1.1316999999999999</v>
      </c>
      <c r="F43" s="391" t="s">
        <v>261</v>
      </c>
      <c r="G43" s="391" t="s">
        <v>262</v>
      </c>
      <c r="I43" s="231"/>
      <c r="J43" s="231"/>
      <c r="K43" s="231"/>
    </row>
    <row r="44" spans="2:14">
      <c r="B44" s="388">
        <v>4</v>
      </c>
      <c r="C44" s="271">
        <v>4.6642999999999999</v>
      </c>
      <c r="D44" s="392"/>
      <c r="E44" s="390">
        <f>+I77</f>
        <v>4.3726000000000003</v>
      </c>
      <c r="F44" s="391" t="s">
        <v>263</v>
      </c>
      <c r="G44" s="391" t="s">
        <v>264</v>
      </c>
      <c r="I44" s="231"/>
      <c r="J44" s="231"/>
      <c r="K44" s="231"/>
    </row>
    <row r="45" spans="2:14">
      <c r="B45" s="388">
        <v>5</v>
      </c>
      <c r="C45" s="271">
        <v>2.1623000000000001</v>
      </c>
      <c r="D45" s="392"/>
      <c r="E45" s="390">
        <f>+I85</f>
        <v>2.3926999999999996</v>
      </c>
      <c r="F45" s="391" t="s">
        <v>265</v>
      </c>
      <c r="G45" s="391" t="s">
        <v>266</v>
      </c>
      <c r="I45" s="231"/>
      <c r="J45" s="231"/>
      <c r="K45" s="231"/>
    </row>
    <row r="46" spans="2:14">
      <c r="B46" s="388">
        <v>6</v>
      </c>
      <c r="C46" s="271">
        <v>1.2289000000000001</v>
      </c>
      <c r="D46" s="392"/>
      <c r="E46" s="390">
        <f>+I93</f>
        <v>1.6804000000000001</v>
      </c>
      <c r="F46" s="391" t="s">
        <v>267</v>
      </c>
      <c r="G46" s="391" t="s">
        <v>268</v>
      </c>
      <c r="I46" s="231"/>
      <c r="J46" s="231"/>
      <c r="K46" s="231"/>
    </row>
    <row r="47" spans="2:14">
      <c r="B47" s="388">
        <v>7</v>
      </c>
      <c r="C47" s="271">
        <v>1.3704000000000001</v>
      </c>
      <c r="D47" s="392"/>
      <c r="E47" s="390">
        <f>+I98</f>
        <v>1.5432999999999999</v>
      </c>
      <c r="F47" s="391" t="s">
        <v>269</v>
      </c>
      <c r="G47" s="391" t="s">
        <v>270</v>
      </c>
      <c r="I47" s="231"/>
      <c r="J47" s="231"/>
      <c r="K47" s="231"/>
    </row>
    <row r="48" spans="2:14">
      <c r="B48" s="388">
        <v>8</v>
      </c>
      <c r="C48" s="271">
        <v>2.0295000000000001</v>
      </c>
      <c r="D48" s="392"/>
      <c r="E48" s="390">
        <f>+I107</f>
        <v>2.1751999999999998</v>
      </c>
      <c r="F48" s="391" t="s">
        <v>271</v>
      </c>
      <c r="G48" s="391" t="s">
        <v>272</v>
      </c>
      <c r="I48" s="231"/>
      <c r="J48" s="231"/>
      <c r="K48" s="231"/>
    </row>
    <row r="49" spans="2:11">
      <c r="B49" s="388">
        <v>9</v>
      </c>
      <c r="C49" s="271">
        <v>1.3045</v>
      </c>
      <c r="D49" s="392"/>
      <c r="E49" s="390">
        <f>+I113</f>
        <v>1.0256000000000001</v>
      </c>
      <c r="F49" s="250" t="s">
        <v>273</v>
      </c>
      <c r="G49" s="391" t="s">
        <v>274</v>
      </c>
      <c r="I49" s="231"/>
      <c r="J49" s="231"/>
      <c r="K49" s="231"/>
    </row>
    <row r="50" spans="2:11">
      <c r="B50" s="388">
        <v>10</v>
      </c>
      <c r="C50" s="271">
        <v>1.6647000000000001</v>
      </c>
      <c r="D50" s="392"/>
      <c r="E50" s="390">
        <f>+I117</f>
        <v>1.7983</v>
      </c>
      <c r="F50" s="391" t="s">
        <v>275</v>
      </c>
      <c r="G50" s="391" t="s">
        <v>276</v>
      </c>
      <c r="I50" s="231"/>
      <c r="J50" s="231"/>
      <c r="K50" s="231"/>
    </row>
    <row r="51" spans="2:11">
      <c r="B51" s="388">
        <v>11</v>
      </c>
      <c r="C51" s="271">
        <v>1.7064000000000001</v>
      </c>
      <c r="D51" s="392"/>
      <c r="E51" s="390">
        <f>+I120</f>
        <v>2.1702000000000004</v>
      </c>
      <c r="F51" s="391" t="s">
        <v>277</v>
      </c>
      <c r="G51" s="391" t="s">
        <v>270</v>
      </c>
      <c r="I51" s="231"/>
      <c r="J51" s="231"/>
      <c r="K51" s="231"/>
    </row>
    <row r="52" spans="2:11">
      <c r="B52" s="388">
        <v>12</v>
      </c>
      <c r="C52" s="271">
        <v>1.1435</v>
      </c>
      <c r="D52" s="392"/>
      <c r="E52" s="390">
        <f>+I124</f>
        <v>1.7753999999999999</v>
      </c>
      <c r="F52" s="250" t="s">
        <v>278</v>
      </c>
      <c r="G52" s="391" t="s">
        <v>279</v>
      </c>
      <c r="I52" s="231"/>
      <c r="J52" s="231"/>
    </row>
    <row r="53" spans="2:11">
      <c r="B53" s="388">
        <v>13</v>
      </c>
      <c r="C53" s="271">
        <v>1.0654000000000001</v>
      </c>
      <c r="D53" s="392"/>
      <c r="E53" s="390">
        <f>+I127</f>
        <v>0.93669999999999998</v>
      </c>
      <c r="F53" s="391" t="s">
        <v>278</v>
      </c>
      <c r="G53" s="391" t="s">
        <v>280</v>
      </c>
      <c r="I53" s="231"/>
      <c r="J53" s="231"/>
    </row>
    <row r="54" spans="2:11">
      <c r="B54" s="388">
        <v>14</v>
      </c>
      <c r="C54" s="271">
        <v>0.86950000000000005</v>
      </c>
      <c r="D54" s="392"/>
      <c r="E54" s="390">
        <f>+I129</f>
        <v>0.88480000000000003</v>
      </c>
      <c r="F54" s="391" t="s">
        <v>281</v>
      </c>
      <c r="G54" s="391"/>
    </row>
    <row r="55" spans="2:11">
      <c r="B55" s="388">
        <v>15</v>
      </c>
      <c r="C55" s="271">
        <v>6.25E-2</v>
      </c>
      <c r="D55" s="393"/>
      <c r="E55" s="390">
        <f>+I131</f>
        <v>6.4000000000000001E-2</v>
      </c>
      <c r="F55" s="391"/>
      <c r="G55" s="391" t="s">
        <v>270</v>
      </c>
    </row>
    <row r="56" spans="2:11">
      <c r="B56" s="229"/>
      <c r="C56" s="352"/>
      <c r="D56" s="146"/>
      <c r="E56" s="231"/>
      <c r="F56" s="146"/>
      <c r="G56" s="146"/>
      <c r="H56" s="231"/>
      <c r="I56" s="231"/>
      <c r="J56" s="231"/>
      <c r="K56" s="350"/>
    </row>
    <row r="57" spans="2:11" ht="23.25">
      <c r="B57" s="521" t="s">
        <v>252</v>
      </c>
      <c r="G57" s="456" t="s">
        <v>376</v>
      </c>
      <c r="H57" s="457" t="s">
        <v>377</v>
      </c>
      <c r="I57" s="457" t="s">
        <v>378</v>
      </c>
      <c r="J57" s="350"/>
    </row>
    <row r="58" spans="2:11">
      <c r="B58" s="215" t="s">
        <v>282</v>
      </c>
      <c r="C58" s="216" t="s">
        <v>139</v>
      </c>
      <c r="D58" s="217"/>
      <c r="E58" s="218" t="s">
        <v>283</v>
      </c>
      <c r="F58" s="218" t="s">
        <v>284</v>
      </c>
      <c r="G58" s="218" t="s">
        <v>285</v>
      </c>
      <c r="H58" s="218" t="s">
        <v>285</v>
      </c>
      <c r="I58" s="218" t="s">
        <v>285</v>
      </c>
      <c r="J58" s="232"/>
    </row>
    <row r="59" spans="2:11">
      <c r="B59" s="219" t="s">
        <v>286</v>
      </c>
      <c r="C59" s="220"/>
      <c r="D59" s="221"/>
      <c r="E59" s="222" t="s">
        <v>287</v>
      </c>
      <c r="F59" s="222" t="s">
        <v>288</v>
      </c>
      <c r="G59" s="222" t="s">
        <v>121</v>
      </c>
      <c r="H59" s="222"/>
      <c r="I59" s="222" t="s">
        <v>121</v>
      </c>
      <c r="J59" s="232"/>
    </row>
    <row r="60" spans="2:11">
      <c r="B60" s="223">
        <v>1</v>
      </c>
      <c r="C60" s="359" t="s">
        <v>289</v>
      </c>
      <c r="D60" s="360"/>
      <c r="E60" s="429">
        <v>0.1158</v>
      </c>
      <c r="F60" s="430">
        <f>+Factores!F32</f>
        <v>1.0378000000000001</v>
      </c>
      <c r="G60" s="429">
        <f>+ROUND(E60*F60,4)</f>
        <v>0.1202</v>
      </c>
      <c r="H60" s="431">
        <v>-2E-3</v>
      </c>
      <c r="I60" s="429">
        <f t="shared" ref="I60:I123" si="2">+H60+G60</f>
        <v>0.1182</v>
      </c>
      <c r="J60" s="232"/>
    </row>
    <row r="61" spans="2:11">
      <c r="B61" s="224" t="s">
        <v>290</v>
      </c>
      <c r="C61" s="361" t="s">
        <v>291</v>
      </c>
      <c r="D61" s="362"/>
      <c r="E61" s="432">
        <v>0.96819999999999995</v>
      </c>
      <c r="F61" s="433">
        <f>+F60</f>
        <v>1.0378000000000001</v>
      </c>
      <c r="G61" s="432">
        <f>+ROUND(E61*F61,4)</f>
        <v>1.0047999999999999</v>
      </c>
      <c r="H61" s="434">
        <v>-0.1055</v>
      </c>
      <c r="I61" s="432">
        <f t="shared" si="2"/>
        <v>0.89929999999999988</v>
      </c>
      <c r="J61" s="232"/>
    </row>
    <row r="62" spans="2:11">
      <c r="B62" s="224" t="s">
        <v>290</v>
      </c>
      <c r="C62" s="361" t="s">
        <v>292</v>
      </c>
      <c r="D62" s="362"/>
      <c r="E62" s="432">
        <v>1.52E-2</v>
      </c>
      <c r="F62" s="433">
        <f>+F61</f>
        <v>1.0378000000000001</v>
      </c>
      <c r="G62" s="432">
        <f>+ROUND(E62*F62,4)</f>
        <v>1.5800000000000002E-2</v>
      </c>
      <c r="H62" s="434">
        <v>-2.9999999999999997E-4</v>
      </c>
      <c r="I62" s="432">
        <f t="shared" si="2"/>
        <v>1.5500000000000002E-2</v>
      </c>
      <c r="J62" s="232"/>
    </row>
    <row r="63" spans="2:11">
      <c r="B63" s="224" t="s">
        <v>290</v>
      </c>
      <c r="C63" s="363" t="s">
        <v>270</v>
      </c>
      <c r="D63" s="364"/>
      <c r="E63" s="435">
        <v>0.29699999999999999</v>
      </c>
      <c r="F63" s="436">
        <f>+F62</f>
        <v>1.0378000000000001</v>
      </c>
      <c r="G63" s="435">
        <f>+ROUND(E63*F63,4)</f>
        <v>0.30819999999999997</v>
      </c>
      <c r="H63" s="437">
        <v>3.0099999999999998E-2</v>
      </c>
      <c r="I63" s="435">
        <f t="shared" si="2"/>
        <v>0.33829999999999999</v>
      </c>
      <c r="J63" s="232"/>
    </row>
    <row r="64" spans="2:11">
      <c r="B64" s="226" t="s">
        <v>290</v>
      </c>
      <c r="C64" s="365" t="s">
        <v>293</v>
      </c>
      <c r="D64" s="366"/>
      <c r="E64" s="438">
        <f t="shared" ref="E64" si="3">SUM(E60:E63)</f>
        <v>1.3961999999999999</v>
      </c>
      <c r="F64" s="439"/>
      <c r="G64" s="438">
        <f>SUM(G60:G63)</f>
        <v>1.4490000000000001</v>
      </c>
      <c r="H64" s="440">
        <f t="shared" ref="H64:I64" si="4">SUM(H60:H63)</f>
        <v>-7.7699999999999991E-2</v>
      </c>
      <c r="I64" s="438">
        <f t="shared" si="4"/>
        <v>1.3713</v>
      </c>
      <c r="J64" s="232"/>
    </row>
    <row r="65" spans="2:10">
      <c r="B65" s="227">
        <v>2</v>
      </c>
      <c r="C65" s="367" t="s">
        <v>289</v>
      </c>
      <c r="D65" s="368"/>
      <c r="E65" s="441">
        <v>0.29189999999999999</v>
      </c>
      <c r="F65" s="442">
        <f>+Factores!F33</f>
        <v>1.0489999999999999</v>
      </c>
      <c r="G65" s="441">
        <f>+ROUND(E65*F65,4)</f>
        <v>0.30620000000000003</v>
      </c>
      <c r="H65" s="443">
        <v>-1.3899999999999999E-2</v>
      </c>
      <c r="I65" s="441">
        <f t="shared" si="2"/>
        <v>0.2923</v>
      </c>
      <c r="J65" s="232"/>
    </row>
    <row r="66" spans="2:10">
      <c r="B66" s="224" t="s">
        <v>290</v>
      </c>
      <c r="C66" s="361" t="s">
        <v>294</v>
      </c>
      <c r="D66" s="362"/>
      <c r="E66" s="432">
        <v>0.3584</v>
      </c>
      <c r="F66" s="433">
        <f>+F65</f>
        <v>1.0489999999999999</v>
      </c>
      <c r="G66" s="432">
        <f>+ROUND(E66*F66,4)</f>
        <v>0.376</v>
      </c>
      <c r="H66" s="444">
        <v>-1.3899999999999999E-2</v>
      </c>
      <c r="I66" s="432">
        <f t="shared" si="2"/>
        <v>0.36209999999999998</v>
      </c>
      <c r="J66" s="232"/>
    </row>
    <row r="67" spans="2:10">
      <c r="B67" s="224" t="s">
        <v>290</v>
      </c>
      <c r="C67" s="361" t="s">
        <v>295</v>
      </c>
      <c r="D67" s="362"/>
      <c r="E67" s="432">
        <v>0.86229999999999996</v>
      </c>
      <c r="F67" s="433">
        <f>+F66</f>
        <v>1.0489999999999999</v>
      </c>
      <c r="G67" s="432">
        <f>+ROUND(E67*F67,4)</f>
        <v>0.90459999999999996</v>
      </c>
      <c r="H67" s="444">
        <v>-0.16700000000000001</v>
      </c>
      <c r="I67" s="432">
        <f t="shared" si="2"/>
        <v>0.73759999999999992</v>
      </c>
      <c r="J67" s="232"/>
    </row>
    <row r="68" spans="2:10">
      <c r="B68" s="224" t="s">
        <v>290</v>
      </c>
      <c r="C68" s="363" t="s">
        <v>270</v>
      </c>
      <c r="D68" s="364"/>
      <c r="E68" s="435">
        <v>2.52E-2</v>
      </c>
      <c r="F68" s="436">
        <f>+F67</f>
        <v>1.0489999999999999</v>
      </c>
      <c r="G68" s="435">
        <f>+ROUND(E68*F68,4)</f>
        <v>2.64E-2</v>
      </c>
      <c r="H68" s="437">
        <v>-1.1999999999999999E-3</v>
      </c>
      <c r="I68" s="435">
        <f t="shared" si="2"/>
        <v>2.52E-2</v>
      </c>
      <c r="J68" s="232"/>
    </row>
    <row r="69" spans="2:10">
      <c r="B69" s="228" t="s">
        <v>290</v>
      </c>
      <c r="C69" s="365" t="s">
        <v>293</v>
      </c>
      <c r="D69" s="366"/>
      <c r="E69" s="438">
        <f t="shared" ref="E69" si="5">SUM(E65:E68)</f>
        <v>1.5377999999999998</v>
      </c>
      <c r="F69" s="439"/>
      <c r="G69" s="438">
        <f>SUM(G65:G68)</f>
        <v>1.6132</v>
      </c>
      <c r="H69" s="440">
        <f t="shared" ref="H69:I69" si="6">SUM(H65:H68)</f>
        <v>-0.19600000000000001</v>
      </c>
      <c r="I69" s="438">
        <f t="shared" si="6"/>
        <v>1.4171999999999998</v>
      </c>
      <c r="J69" s="232"/>
    </row>
    <row r="70" spans="2:10">
      <c r="B70" s="227">
        <v>3</v>
      </c>
      <c r="C70" s="367" t="s">
        <v>296</v>
      </c>
      <c r="D70" s="368"/>
      <c r="E70" s="441">
        <v>8.2000000000000007E-3</v>
      </c>
      <c r="F70" s="442">
        <f>+Factores!F34</f>
        <v>1.0371999999999999</v>
      </c>
      <c r="G70" s="441">
        <f>+ROUND(E70*F70,4)</f>
        <v>8.5000000000000006E-3</v>
      </c>
      <c r="H70" s="445">
        <v>-2.9999999999999997E-4</v>
      </c>
      <c r="I70" s="441">
        <f t="shared" si="2"/>
        <v>8.2000000000000007E-3</v>
      </c>
      <c r="J70" s="232"/>
    </row>
    <row r="71" spans="2:10">
      <c r="B71" s="224" t="s">
        <v>290</v>
      </c>
      <c r="C71" s="361" t="s">
        <v>297</v>
      </c>
      <c r="D71" s="362"/>
      <c r="E71" s="432">
        <v>4.5999999999999999E-2</v>
      </c>
      <c r="F71" s="433">
        <f>+F70</f>
        <v>1.0371999999999999</v>
      </c>
      <c r="G71" s="432">
        <f>+ROUND(E71*F71,4)</f>
        <v>4.7699999999999999E-2</v>
      </c>
      <c r="H71" s="446">
        <v>-2.5999999999999999E-3</v>
      </c>
      <c r="I71" s="432">
        <f t="shared" si="2"/>
        <v>4.5100000000000001E-2</v>
      </c>
      <c r="J71" s="232"/>
    </row>
    <row r="72" spans="2:10">
      <c r="B72" s="224" t="s">
        <v>290</v>
      </c>
      <c r="C72" s="361" t="s">
        <v>298</v>
      </c>
      <c r="D72" s="362"/>
      <c r="E72" s="432">
        <v>0.99399999999999999</v>
      </c>
      <c r="F72" s="433">
        <f>+F71</f>
        <v>1.0371999999999999</v>
      </c>
      <c r="G72" s="432">
        <f>+ROUND(E72*F72,4)</f>
        <v>1.0309999999999999</v>
      </c>
      <c r="H72" s="446">
        <v>-0.1028</v>
      </c>
      <c r="I72" s="432">
        <f t="shared" si="2"/>
        <v>0.92819999999999991</v>
      </c>
      <c r="J72" s="232"/>
    </row>
    <row r="73" spans="2:10">
      <c r="B73" s="224" t="s">
        <v>290</v>
      </c>
      <c r="C73" s="363" t="s">
        <v>270</v>
      </c>
      <c r="D73" s="364"/>
      <c r="E73" s="435">
        <v>0.1258</v>
      </c>
      <c r="F73" s="436">
        <f>+F72</f>
        <v>1.0371999999999999</v>
      </c>
      <c r="G73" s="435">
        <f>+ROUND(E73*F73,4)</f>
        <v>0.1305</v>
      </c>
      <c r="H73" s="437">
        <v>1.9699999999999999E-2</v>
      </c>
      <c r="I73" s="435">
        <f t="shared" si="2"/>
        <v>0.1502</v>
      </c>
      <c r="J73" s="232"/>
    </row>
    <row r="74" spans="2:10">
      <c r="B74" s="228" t="s">
        <v>290</v>
      </c>
      <c r="C74" s="365" t="s">
        <v>293</v>
      </c>
      <c r="D74" s="366"/>
      <c r="E74" s="438">
        <f t="shared" ref="E74" si="7">SUM(E70:E73)</f>
        <v>1.1739999999999999</v>
      </c>
      <c r="F74" s="439"/>
      <c r="G74" s="438">
        <f>SUM(G70:G73)</f>
        <v>1.2177</v>
      </c>
      <c r="H74" s="440">
        <f t="shared" ref="H74:I74" si="8">SUM(H70:H73)</f>
        <v>-8.6000000000000007E-2</v>
      </c>
      <c r="I74" s="438">
        <f t="shared" si="8"/>
        <v>1.1316999999999999</v>
      </c>
      <c r="J74" s="232"/>
    </row>
    <row r="75" spans="2:10">
      <c r="B75" s="227">
        <v>4</v>
      </c>
      <c r="C75" s="367" t="s">
        <v>299</v>
      </c>
      <c r="D75" s="368"/>
      <c r="E75" s="441">
        <v>3.8149000000000002</v>
      </c>
      <c r="F75" s="442">
        <f>+Factores!F35</f>
        <v>1.0327</v>
      </c>
      <c r="G75" s="441">
        <f>+ROUND(E75*F75,4)</f>
        <v>3.9396</v>
      </c>
      <c r="H75" s="443">
        <v>0.51729999999999998</v>
      </c>
      <c r="I75" s="441">
        <f t="shared" si="2"/>
        <v>4.4569000000000001</v>
      </c>
      <c r="J75" s="232"/>
    </row>
    <row r="76" spans="2:10">
      <c r="B76" s="224" t="s">
        <v>290</v>
      </c>
      <c r="C76" s="363" t="s">
        <v>300</v>
      </c>
      <c r="D76" s="364"/>
      <c r="E76" s="435">
        <v>0</v>
      </c>
      <c r="F76" s="436">
        <f>+F75</f>
        <v>1.0327</v>
      </c>
      <c r="G76" s="435">
        <f>+ROUND(E76*F76,4)</f>
        <v>0</v>
      </c>
      <c r="H76" s="437">
        <v>-8.43E-2</v>
      </c>
      <c r="I76" s="435">
        <f t="shared" si="2"/>
        <v>-8.43E-2</v>
      </c>
      <c r="J76" s="232"/>
    </row>
    <row r="77" spans="2:10">
      <c r="B77" s="228" t="s">
        <v>290</v>
      </c>
      <c r="C77" s="365" t="s">
        <v>293</v>
      </c>
      <c r="D77" s="366"/>
      <c r="E77" s="438">
        <f t="shared" ref="E77" si="9">SUM(E75:E76)</f>
        <v>3.8149000000000002</v>
      </c>
      <c r="F77" s="439"/>
      <c r="G77" s="438">
        <f>SUM(G75:G76)</f>
        <v>3.9396</v>
      </c>
      <c r="H77" s="440">
        <f t="shared" ref="H77:I77" si="10">SUM(H75:H76)</f>
        <v>0.433</v>
      </c>
      <c r="I77" s="438">
        <f t="shared" si="10"/>
        <v>4.3726000000000003</v>
      </c>
      <c r="J77" s="232"/>
    </row>
    <row r="78" spans="2:10">
      <c r="B78" s="227">
        <v>5</v>
      </c>
      <c r="C78" s="367" t="s">
        <v>289</v>
      </c>
      <c r="D78" s="368"/>
      <c r="E78" s="441">
        <v>7.9899999999999999E-2</v>
      </c>
      <c r="F78" s="442">
        <f>+Factores!F36</f>
        <v>1.0196000000000001</v>
      </c>
      <c r="G78" s="441">
        <f t="shared" ref="G78:G84" si="11">+ROUND(E78*F78,4)</f>
        <v>8.1500000000000003E-2</v>
      </c>
      <c r="H78" s="443">
        <v>4.7000000000000002E-3</v>
      </c>
      <c r="I78" s="441">
        <f t="shared" si="2"/>
        <v>8.6199999999999999E-2</v>
      </c>
      <c r="J78" s="232"/>
    </row>
    <row r="79" spans="2:10">
      <c r="B79" s="224" t="s">
        <v>290</v>
      </c>
      <c r="C79" s="361" t="s">
        <v>301</v>
      </c>
      <c r="D79" s="362"/>
      <c r="E79" s="432">
        <v>1.3299999999999999E-2</v>
      </c>
      <c r="F79" s="433">
        <f t="shared" ref="F79:F84" si="12">+F78</f>
        <v>1.0196000000000001</v>
      </c>
      <c r="G79" s="432">
        <f t="shared" si="11"/>
        <v>1.3599999999999999E-2</v>
      </c>
      <c r="H79" s="444">
        <v>5.9999999999999995E-4</v>
      </c>
      <c r="I79" s="432">
        <f t="shared" si="2"/>
        <v>1.4199999999999999E-2</v>
      </c>
      <c r="J79" s="232"/>
    </row>
    <row r="80" spans="2:10">
      <c r="B80" s="224" t="s">
        <v>290</v>
      </c>
      <c r="C80" s="361" t="s">
        <v>147</v>
      </c>
      <c r="D80" s="362"/>
      <c r="E80" s="432">
        <v>3.5299999999999998E-2</v>
      </c>
      <c r="F80" s="433">
        <f t="shared" si="12"/>
        <v>1.0196000000000001</v>
      </c>
      <c r="G80" s="432">
        <f t="shared" si="11"/>
        <v>3.5999999999999997E-2</v>
      </c>
      <c r="H80" s="444">
        <v>1.5E-3</v>
      </c>
      <c r="I80" s="432">
        <f t="shared" si="2"/>
        <v>3.7499999999999999E-2</v>
      </c>
      <c r="J80" s="232"/>
    </row>
    <row r="81" spans="2:13">
      <c r="B81" s="224" t="s">
        <v>290</v>
      </c>
      <c r="C81" s="361" t="s">
        <v>302</v>
      </c>
      <c r="D81" s="362"/>
      <c r="E81" s="432">
        <v>1.0663</v>
      </c>
      <c r="F81" s="433">
        <f t="shared" si="12"/>
        <v>1.0196000000000001</v>
      </c>
      <c r="G81" s="432">
        <f t="shared" si="11"/>
        <v>1.0871999999999999</v>
      </c>
      <c r="H81" s="444">
        <v>4.7500000000000001E-2</v>
      </c>
      <c r="I81" s="432">
        <f t="shared" si="2"/>
        <v>1.1347</v>
      </c>
      <c r="J81" s="232"/>
    </row>
    <row r="82" spans="2:13">
      <c r="B82" s="224" t="s">
        <v>290</v>
      </c>
      <c r="C82" s="361" t="s">
        <v>303</v>
      </c>
      <c r="D82" s="362"/>
      <c r="E82" s="432">
        <v>1.0902000000000001</v>
      </c>
      <c r="F82" s="433">
        <f t="shared" si="12"/>
        <v>1.0196000000000001</v>
      </c>
      <c r="G82" s="432">
        <f t="shared" si="11"/>
        <v>1.1115999999999999</v>
      </c>
      <c r="H82" s="444">
        <v>-8.4099999999999994E-2</v>
      </c>
      <c r="I82" s="432">
        <f t="shared" si="2"/>
        <v>1.0274999999999999</v>
      </c>
      <c r="J82" s="232"/>
    </row>
    <row r="83" spans="2:13">
      <c r="B83" s="224" t="s">
        <v>290</v>
      </c>
      <c r="C83" s="361" t="s">
        <v>292</v>
      </c>
      <c r="D83" s="362"/>
      <c r="E83" s="432">
        <v>1.01E-2</v>
      </c>
      <c r="F83" s="433">
        <f t="shared" si="12"/>
        <v>1.0196000000000001</v>
      </c>
      <c r="G83" s="432">
        <f t="shared" si="11"/>
        <v>1.03E-2</v>
      </c>
      <c r="H83" s="444">
        <v>4.0000000000000002E-4</v>
      </c>
      <c r="I83" s="432">
        <f t="shared" si="2"/>
        <v>1.0699999999999999E-2</v>
      </c>
      <c r="J83" s="232"/>
    </row>
    <row r="84" spans="2:13">
      <c r="B84" s="224" t="s">
        <v>290</v>
      </c>
      <c r="C84" s="363" t="s">
        <v>270</v>
      </c>
      <c r="D84" s="364"/>
      <c r="E84" s="435">
        <v>6.8400000000000002E-2</v>
      </c>
      <c r="F84" s="436">
        <f t="shared" si="12"/>
        <v>1.0196000000000001</v>
      </c>
      <c r="G84" s="435">
        <f t="shared" si="11"/>
        <v>6.9699999999999998E-2</v>
      </c>
      <c r="H84" s="437">
        <v>1.2200000000000001E-2</v>
      </c>
      <c r="I84" s="435">
        <f t="shared" si="2"/>
        <v>8.1900000000000001E-2</v>
      </c>
      <c r="J84" s="232"/>
    </row>
    <row r="85" spans="2:13">
      <c r="B85" s="228" t="s">
        <v>290</v>
      </c>
      <c r="C85" s="365" t="s">
        <v>293</v>
      </c>
      <c r="D85" s="366"/>
      <c r="E85" s="438">
        <f t="shared" ref="E85" si="13">SUM(E78:E84)</f>
        <v>2.3635000000000002</v>
      </c>
      <c r="F85" s="439"/>
      <c r="G85" s="438">
        <f>SUM(G78:G84)</f>
        <v>2.4098999999999999</v>
      </c>
      <c r="H85" s="440">
        <f t="shared" ref="H85:I85" si="14">SUM(H78:H84)</f>
        <v>-1.7199999999999993E-2</v>
      </c>
      <c r="I85" s="438">
        <f t="shared" si="14"/>
        <v>2.3926999999999996</v>
      </c>
      <c r="J85" s="232"/>
    </row>
    <row r="86" spans="2:13">
      <c r="B86" s="306">
        <v>6</v>
      </c>
      <c r="C86" s="367" t="s">
        <v>289</v>
      </c>
      <c r="D86" s="368"/>
      <c r="E86" s="441">
        <v>1.2999999999999999E-3</v>
      </c>
      <c r="F86" s="442">
        <f>+Factores!F37</f>
        <v>1.0044</v>
      </c>
      <c r="G86" s="441">
        <f t="shared" ref="G86:G92" si="15">+ROUND(E86*F86,4)</f>
        <v>1.2999999999999999E-3</v>
      </c>
      <c r="H86" s="443">
        <v>0</v>
      </c>
      <c r="I86" s="441">
        <f t="shared" si="2"/>
        <v>1.2999999999999999E-3</v>
      </c>
      <c r="J86" s="232"/>
    </row>
    <row r="87" spans="2:13">
      <c r="B87" s="307" t="s">
        <v>290</v>
      </c>
      <c r="C87" s="361" t="s">
        <v>304</v>
      </c>
      <c r="D87" s="362"/>
      <c r="E87" s="432">
        <v>1.1299999999999999E-2</v>
      </c>
      <c r="F87" s="433">
        <f>+F86</f>
        <v>1.0044</v>
      </c>
      <c r="G87" s="432">
        <f t="shared" si="15"/>
        <v>1.1299999999999999E-2</v>
      </c>
      <c r="H87" s="444">
        <v>-1E-4</v>
      </c>
      <c r="I87" s="432">
        <f t="shared" si="2"/>
        <v>1.12E-2</v>
      </c>
      <c r="J87" s="232"/>
    </row>
    <row r="88" spans="2:13">
      <c r="B88" s="307" t="s">
        <v>290</v>
      </c>
      <c r="C88" s="361" t="s">
        <v>305</v>
      </c>
      <c r="D88" s="362"/>
      <c r="E88" s="432">
        <v>1.1443000000000001</v>
      </c>
      <c r="F88" s="433">
        <f>+F87</f>
        <v>1.0044</v>
      </c>
      <c r="G88" s="432">
        <f t="shared" si="15"/>
        <v>1.1493</v>
      </c>
      <c r="H88" s="444">
        <v>-4.65E-2</v>
      </c>
      <c r="I88" s="432">
        <f t="shared" si="2"/>
        <v>1.1028</v>
      </c>
      <c r="J88" s="232"/>
    </row>
    <row r="89" spans="2:13">
      <c r="B89" s="307" t="s">
        <v>290</v>
      </c>
      <c r="C89" s="361" t="s">
        <v>298</v>
      </c>
      <c r="D89" s="362"/>
      <c r="E89" s="432">
        <v>3.0999999999999999E-3</v>
      </c>
      <c r="F89" s="433">
        <f>+F88</f>
        <v>1.0044</v>
      </c>
      <c r="G89" s="432">
        <f t="shared" si="15"/>
        <v>3.0999999999999999E-3</v>
      </c>
      <c r="H89" s="444">
        <v>0</v>
      </c>
      <c r="I89" s="432">
        <f t="shared" si="2"/>
        <v>3.0999999999999999E-3</v>
      </c>
      <c r="J89" s="232"/>
    </row>
    <row r="90" spans="2:13">
      <c r="B90" s="307" t="s">
        <v>290</v>
      </c>
      <c r="C90" s="361" t="s">
        <v>270</v>
      </c>
      <c r="D90" s="362"/>
      <c r="E90" s="432">
        <v>1.29E-2</v>
      </c>
      <c r="F90" s="433">
        <f>+F89</f>
        <v>1.0044</v>
      </c>
      <c r="G90" s="432">
        <f t="shared" si="15"/>
        <v>1.2999999999999999E-2</v>
      </c>
      <c r="H90" s="444">
        <v>-1E-4</v>
      </c>
      <c r="I90" s="432">
        <f t="shared" si="2"/>
        <v>1.29E-2</v>
      </c>
      <c r="J90" s="232"/>
    </row>
    <row r="91" spans="2:13">
      <c r="B91" s="307" t="s">
        <v>290</v>
      </c>
      <c r="C91" s="361" t="s">
        <v>306</v>
      </c>
      <c r="D91" s="362"/>
      <c r="E91" s="432">
        <v>7.1999999999999998E-3</v>
      </c>
      <c r="F91" s="433">
        <f>+F90</f>
        <v>1.0044</v>
      </c>
      <c r="G91" s="432">
        <f t="shared" si="15"/>
        <v>7.1999999999999998E-3</v>
      </c>
      <c r="H91" s="444">
        <v>-1E-4</v>
      </c>
      <c r="I91" s="432">
        <f t="shared" si="2"/>
        <v>7.0999999999999995E-3</v>
      </c>
      <c r="J91" s="232"/>
    </row>
    <row r="92" spans="2:13" ht="16.5">
      <c r="B92" s="307"/>
      <c r="C92" s="427" t="s">
        <v>567</v>
      </c>
      <c r="D92" s="428"/>
      <c r="E92" s="633">
        <v>0.49199999999999999</v>
      </c>
      <c r="F92" s="447">
        <v>1.1015999999999999</v>
      </c>
      <c r="G92" s="633">
        <f t="shared" si="15"/>
        <v>0.54200000000000004</v>
      </c>
      <c r="H92" s="634">
        <v>0</v>
      </c>
      <c r="I92" s="634">
        <f t="shared" si="2"/>
        <v>0.54200000000000004</v>
      </c>
      <c r="J92" s="232"/>
    </row>
    <row r="93" spans="2:13">
      <c r="B93" s="228" t="s">
        <v>290</v>
      </c>
      <c r="C93" s="369" t="s">
        <v>293</v>
      </c>
      <c r="D93" s="370"/>
      <c r="E93" s="438">
        <f t="shared" ref="E93" si="16">SUM(E86:E92)</f>
        <v>1.6721000000000001</v>
      </c>
      <c r="F93" s="439"/>
      <c r="G93" s="438">
        <f>SUM(G86:G92)</f>
        <v>1.7272000000000001</v>
      </c>
      <c r="H93" s="440">
        <f t="shared" ref="H93:I93" si="17">SUM(H86:H92)</f>
        <v>-4.6800000000000008E-2</v>
      </c>
      <c r="I93" s="438">
        <f t="shared" si="17"/>
        <v>1.6804000000000001</v>
      </c>
      <c r="J93" s="232"/>
      <c r="L93" s="207"/>
      <c r="M93" s="244"/>
    </row>
    <row r="94" spans="2:13">
      <c r="B94" s="306">
        <v>7</v>
      </c>
      <c r="C94" s="371" t="s">
        <v>307</v>
      </c>
      <c r="D94" s="372"/>
      <c r="E94" s="441">
        <v>2.3199999999999998E-2</v>
      </c>
      <c r="F94" s="442">
        <f>+Factores!F38</f>
        <v>1.0062</v>
      </c>
      <c r="G94" s="441">
        <f>+ROUND(E94*F94,4)</f>
        <v>2.3300000000000001E-2</v>
      </c>
      <c r="H94" s="445">
        <v>-4.4000000000000003E-3</v>
      </c>
      <c r="I94" s="441">
        <f t="shared" si="2"/>
        <v>1.89E-2</v>
      </c>
      <c r="J94" s="232"/>
    </row>
    <row r="95" spans="2:13">
      <c r="B95" s="307" t="s">
        <v>290</v>
      </c>
      <c r="C95" s="373" t="s">
        <v>308</v>
      </c>
      <c r="D95" s="374"/>
      <c r="E95" s="432">
        <v>1.0987</v>
      </c>
      <c r="F95" s="433">
        <f>+F94</f>
        <v>1.0062</v>
      </c>
      <c r="G95" s="432">
        <f>+ROUND(E95*F95,4)</f>
        <v>1.1054999999999999</v>
      </c>
      <c r="H95" s="446">
        <v>-0.1348</v>
      </c>
      <c r="I95" s="432">
        <f t="shared" si="2"/>
        <v>0.9706999999999999</v>
      </c>
      <c r="J95" s="232"/>
    </row>
    <row r="96" spans="2:13">
      <c r="B96" s="307" t="s">
        <v>290</v>
      </c>
      <c r="C96" s="373" t="s">
        <v>270</v>
      </c>
      <c r="D96" s="374"/>
      <c r="E96" s="432">
        <v>1.18E-2</v>
      </c>
      <c r="F96" s="433">
        <f>+F95</f>
        <v>1.0062</v>
      </c>
      <c r="G96" s="432">
        <f>+ROUND(E96*F96,4)</f>
        <v>1.1900000000000001E-2</v>
      </c>
      <c r="H96" s="444">
        <v>-2.0000000000000001E-4</v>
      </c>
      <c r="I96" s="432">
        <f t="shared" si="2"/>
        <v>1.17E-2</v>
      </c>
      <c r="J96" s="232"/>
    </row>
    <row r="97" spans="2:10" ht="16.5">
      <c r="B97" s="307"/>
      <c r="C97" s="427" t="s">
        <v>567</v>
      </c>
      <c r="D97" s="428"/>
      <c r="E97" s="633">
        <v>0.49199999999999999</v>
      </c>
      <c r="F97" s="447">
        <v>1.1015999999999999</v>
      </c>
      <c r="G97" s="633">
        <f>+ROUND(E97*F97,4)</f>
        <v>0.54200000000000004</v>
      </c>
      <c r="H97" s="634">
        <v>0</v>
      </c>
      <c r="I97" s="634">
        <f t="shared" si="2"/>
        <v>0.54200000000000004</v>
      </c>
      <c r="J97" s="232"/>
    </row>
    <row r="98" spans="2:10">
      <c r="B98" s="228" t="s">
        <v>290</v>
      </c>
      <c r="C98" s="379" t="s">
        <v>293</v>
      </c>
      <c r="D98" s="380"/>
      <c r="E98" s="438">
        <f t="shared" ref="E98" si="18">SUM(E94:E97)</f>
        <v>1.6257000000000001</v>
      </c>
      <c r="F98" s="439"/>
      <c r="G98" s="438">
        <f>SUM(G94:G97)</f>
        <v>1.6827000000000001</v>
      </c>
      <c r="H98" s="440">
        <f t="shared" ref="H98:I98" si="19">SUM(H94:H97)</f>
        <v>-0.1394</v>
      </c>
      <c r="I98" s="438">
        <f t="shared" si="19"/>
        <v>1.5432999999999999</v>
      </c>
      <c r="J98" s="232"/>
    </row>
    <row r="99" spans="2:10">
      <c r="B99" s="227">
        <v>8</v>
      </c>
      <c r="C99" s="381" t="s">
        <v>289</v>
      </c>
      <c r="D99" s="382"/>
      <c r="E99" s="448">
        <v>2.8999999999999998E-3</v>
      </c>
      <c r="F99" s="442">
        <f>+Factores!F39</f>
        <v>1.0335000000000001</v>
      </c>
      <c r="G99" s="441">
        <f t="shared" ref="G99:G106" si="20">+ROUND(E99*F99,4)</f>
        <v>3.0000000000000001E-3</v>
      </c>
      <c r="H99" s="445">
        <v>-1E-4</v>
      </c>
      <c r="I99" s="441">
        <f t="shared" si="2"/>
        <v>2.9000000000000002E-3</v>
      </c>
      <c r="J99" s="232"/>
    </row>
    <row r="100" spans="2:10">
      <c r="B100" s="224" t="s">
        <v>290</v>
      </c>
      <c r="C100" s="383" t="s">
        <v>309</v>
      </c>
      <c r="D100" s="384"/>
      <c r="E100" s="449">
        <v>9.4E-2</v>
      </c>
      <c r="F100" s="433">
        <f t="shared" ref="F100:F105" si="21">+F99</f>
        <v>1.0335000000000001</v>
      </c>
      <c r="G100" s="432">
        <f t="shared" si="20"/>
        <v>9.7100000000000006E-2</v>
      </c>
      <c r="H100" s="446">
        <v>-6.1000000000000004E-3</v>
      </c>
      <c r="I100" s="432">
        <f t="shared" si="2"/>
        <v>9.1000000000000011E-2</v>
      </c>
      <c r="J100" s="232"/>
    </row>
    <row r="101" spans="2:10">
      <c r="B101" s="224" t="s">
        <v>290</v>
      </c>
      <c r="C101" s="383" t="s">
        <v>310</v>
      </c>
      <c r="D101" s="384"/>
      <c r="E101" s="449">
        <v>0.96109999999999995</v>
      </c>
      <c r="F101" s="433">
        <f t="shared" ref="F101:F103" si="22">+F100</f>
        <v>1.0335000000000001</v>
      </c>
      <c r="G101" s="432">
        <f t="shared" si="20"/>
        <v>0.99329999999999996</v>
      </c>
      <c r="H101" s="446">
        <v>-6.7699999999999996E-2</v>
      </c>
      <c r="I101" s="432">
        <f t="shared" si="2"/>
        <v>0.92559999999999998</v>
      </c>
      <c r="J101" s="232"/>
    </row>
    <row r="102" spans="2:10">
      <c r="B102" s="224" t="s">
        <v>290</v>
      </c>
      <c r="C102" s="383" t="s">
        <v>517</v>
      </c>
      <c r="D102" s="384"/>
      <c r="E102" s="449">
        <v>0</v>
      </c>
      <c r="F102" s="433">
        <f t="shared" si="22"/>
        <v>1.0335000000000001</v>
      </c>
      <c r="G102" s="432">
        <f t="shared" si="20"/>
        <v>0</v>
      </c>
      <c r="H102" s="446">
        <v>0</v>
      </c>
      <c r="I102" s="432">
        <f t="shared" si="2"/>
        <v>0</v>
      </c>
      <c r="J102" s="232"/>
    </row>
    <row r="103" spans="2:10">
      <c r="B103" s="224" t="s">
        <v>290</v>
      </c>
      <c r="C103" s="383" t="s">
        <v>270</v>
      </c>
      <c r="D103" s="384"/>
      <c r="E103" s="449">
        <v>0.52490000000000003</v>
      </c>
      <c r="F103" s="433">
        <f t="shared" si="22"/>
        <v>1.0335000000000001</v>
      </c>
      <c r="G103" s="432">
        <f t="shared" si="20"/>
        <v>0.54249999999999998</v>
      </c>
      <c r="H103" s="444">
        <v>1.2500000000000001E-2</v>
      </c>
      <c r="I103" s="432">
        <f t="shared" si="2"/>
        <v>0.55499999999999994</v>
      </c>
      <c r="J103" s="232"/>
    </row>
    <row r="104" spans="2:10">
      <c r="B104" s="224" t="s">
        <v>290</v>
      </c>
      <c r="C104" s="383" t="s">
        <v>311</v>
      </c>
      <c r="D104" s="384"/>
      <c r="E104" s="449">
        <v>7.7999999999999996E-3</v>
      </c>
      <c r="F104" s="433">
        <f t="shared" si="21"/>
        <v>1.0335000000000001</v>
      </c>
      <c r="G104" s="432">
        <f t="shared" si="20"/>
        <v>8.0999999999999996E-3</v>
      </c>
      <c r="H104" s="446">
        <v>-4.0000000000000002E-4</v>
      </c>
      <c r="I104" s="432">
        <f t="shared" si="2"/>
        <v>7.6999999999999994E-3</v>
      </c>
      <c r="J104" s="232"/>
    </row>
    <row r="105" spans="2:10">
      <c r="B105" s="307" t="s">
        <v>290</v>
      </c>
      <c r="C105" s="373" t="s">
        <v>306</v>
      </c>
      <c r="D105" s="374"/>
      <c r="E105" s="432">
        <v>0.46560000000000001</v>
      </c>
      <c r="F105" s="433">
        <f t="shared" si="21"/>
        <v>1.0335000000000001</v>
      </c>
      <c r="G105" s="432">
        <f t="shared" si="20"/>
        <v>0.48120000000000002</v>
      </c>
      <c r="H105" s="444">
        <v>-1.23E-2</v>
      </c>
      <c r="I105" s="432">
        <f t="shared" si="2"/>
        <v>0.46890000000000004</v>
      </c>
      <c r="J105" s="232"/>
    </row>
    <row r="106" spans="2:10" ht="16.5">
      <c r="B106" s="307"/>
      <c r="C106" s="427" t="s">
        <v>533</v>
      </c>
      <c r="D106" s="428"/>
      <c r="E106" s="633">
        <v>0.19350000000000001</v>
      </c>
      <c r="F106" s="447">
        <f>Factores!F51</f>
        <v>0.83550000000000002</v>
      </c>
      <c r="G106" s="633">
        <f t="shared" si="20"/>
        <v>0.16170000000000001</v>
      </c>
      <c r="H106" s="634">
        <v>-3.7600000000000001E-2</v>
      </c>
      <c r="I106" s="634">
        <f t="shared" si="2"/>
        <v>0.12410000000000002</v>
      </c>
      <c r="J106" s="232"/>
    </row>
    <row r="107" spans="2:10">
      <c r="B107" s="228" t="s">
        <v>290</v>
      </c>
      <c r="C107" s="379" t="s">
        <v>293</v>
      </c>
      <c r="D107" s="380"/>
      <c r="E107" s="438">
        <f t="shared" ref="E107" si="23">SUM(E99:E106)</f>
        <v>2.2498000000000005</v>
      </c>
      <c r="F107" s="439"/>
      <c r="G107" s="438">
        <f>SUM(G99:G106)</f>
        <v>2.2869000000000002</v>
      </c>
      <c r="H107" s="440">
        <f t="shared" ref="H107:I107" si="24">SUM(H99:H106)</f>
        <v>-0.11169999999999999</v>
      </c>
      <c r="I107" s="438">
        <f t="shared" si="24"/>
        <v>2.1751999999999998</v>
      </c>
      <c r="J107" s="232"/>
    </row>
    <row r="108" spans="2:10">
      <c r="B108" s="227">
        <v>9</v>
      </c>
      <c r="C108" s="381" t="s">
        <v>147</v>
      </c>
      <c r="D108" s="382"/>
      <c r="E108" s="448">
        <v>4.1599999999999998E-2</v>
      </c>
      <c r="F108" s="442">
        <f>+Factores!F40</f>
        <v>1.0275000000000001</v>
      </c>
      <c r="G108" s="441">
        <f>+ROUND(E108*F108,4)</f>
        <v>4.2700000000000002E-2</v>
      </c>
      <c r="H108" s="445">
        <v>-2.7000000000000001E-3</v>
      </c>
      <c r="I108" s="441">
        <f t="shared" si="2"/>
        <v>0.04</v>
      </c>
      <c r="J108" s="232"/>
    </row>
    <row r="109" spans="2:10">
      <c r="B109" s="224" t="s">
        <v>290</v>
      </c>
      <c r="C109" s="383" t="s">
        <v>312</v>
      </c>
      <c r="D109" s="384"/>
      <c r="E109" s="449">
        <v>8.5099999999999995E-2</v>
      </c>
      <c r="F109" s="433">
        <f>+F108</f>
        <v>1.0275000000000001</v>
      </c>
      <c r="G109" s="432">
        <f>+ROUND(E109*F109,4)</f>
        <v>8.7400000000000005E-2</v>
      </c>
      <c r="H109" s="446">
        <v>-3.7000000000000002E-3</v>
      </c>
      <c r="I109" s="432">
        <f t="shared" si="2"/>
        <v>8.3700000000000011E-2</v>
      </c>
      <c r="J109" s="232"/>
    </row>
    <row r="110" spans="2:10">
      <c r="B110" s="224" t="s">
        <v>290</v>
      </c>
      <c r="C110" s="383" t="s">
        <v>313</v>
      </c>
      <c r="D110" s="384"/>
      <c r="E110" s="449">
        <v>6.8999999999999999E-3</v>
      </c>
      <c r="F110" s="433">
        <f>+F109</f>
        <v>1.0275000000000001</v>
      </c>
      <c r="G110" s="432">
        <f>+ROUND(E110*F110,4)</f>
        <v>7.1000000000000004E-3</v>
      </c>
      <c r="H110" s="446">
        <v>-2.0000000000000001E-4</v>
      </c>
      <c r="I110" s="432">
        <f t="shared" si="2"/>
        <v>6.9000000000000008E-3</v>
      </c>
      <c r="J110" s="232"/>
    </row>
    <row r="111" spans="2:10">
      <c r="B111" s="224" t="s">
        <v>290</v>
      </c>
      <c r="C111" s="383" t="s">
        <v>270</v>
      </c>
      <c r="D111" s="384"/>
      <c r="E111" s="449">
        <v>2.4199999999999999E-2</v>
      </c>
      <c r="F111" s="433">
        <f>+F110</f>
        <v>1.0275000000000001</v>
      </c>
      <c r="G111" s="432">
        <f>+ROUND(E111*F111,4)</f>
        <v>2.4899999999999999E-2</v>
      </c>
      <c r="H111" s="444">
        <v>-8.9999999999999998E-4</v>
      </c>
      <c r="I111" s="432">
        <f t="shared" si="2"/>
        <v>2.3999999999999997E-2</v>
      </c>
      <c r="J111" s="232"/>
    </row>
    <row r="112" spans="2:10">
      <c r="B112" s="224" t="s">
        <v>290</v>
      </c>
      <c r="C112" s="385" t="s">
        <v>311</v>
      </c>
      <c r="D112" s="386"/>
      <c r="E112" s="450">
        <v>0.96499999999999997</v>
      </c>
      <c r="F112" s="436">
        <f>+F111</f>
        <v>1.0275000000000001</v>
      </c>
      <c r="G112" s="435">
        <f>+ROUND(E112*F112,4)</f>
        <v>0.99150000000000005</v>
      </c>
      <c r="H112" s="451">
        <v>-0.1205</v>
      </c>
      <c r="I112" s="435">
        <f t="shared" si="2"/>
        <v>0.871</v>
      </c>
      <c r="J112" s="232"/>
    </row>
    <row r="113" spans="2:10">
      <c r="B113" s="228" t="s">
        <v>290</v>
      </c>
      <c r="C113" s="379" t="s">
        <v>293</v>
      </c>
      <c r="D113" s="380"/>
      <c r="E113" s="438">
        <f t="shared" ref="E113" si="25">SUM(E108:E112)</f>
        <v>1.1228</v>
      </c>
      <c r="F113" s="439"/>
      <c r="G113" s="438">
        <f>SUM(G108:G112)</f>
        <v>1.1536</v>
      </c>
      <c r="H113" s="440">
        <f t="shared" ref="H113:I113" si="26">SUM(H108:H112)</f>
        <v>-0.128</v>
      </c>
      <c r="I113" s="438">
        <f t="shared" si="26"/>
        <v>1.0256000000000001</v>
      </c>
      <c r="J113" s="232"/>
    </row>
    <row r="114" spans="2:10">
      <c r="B114" s="227">
        <v>10</v>
      </c>
      <c r="C114" s="381" t="s">
        <v>314</v>
      </c>
      <c r="D114" s="382"/>
      <c r="E114" s="448">
        <v>0.21870000000000001</v>
      </c>
      <c r="F114" s="442">
        <f>+Factores!F41</f>
        <v>1.0288999999999999</v>
      </c>
      <c r="G114" s="441">
        <f>+ROUND(E114*F114,4)</f>
        <v>0.22500000000000001</v>
      </c>
      <c r="H114" s="445">
        <v>-1.9599999999999999E-2</v>
      </c>
      <c r="I114" s="441">
        <f t="shared" si="2"/>
        <v>0.2054</v>
      </c>
      <c r="J114" s="232"/>
    </row>
    <row r="115" spans="2:10">
      <c r="B115" s="224" t="s">
        <v>290</v>
      </c>
      <c r="C115" s="383" t="s">
        <v>315</v>
      </c>
      <c r="D115" s="384"/>
      <c r="E115" s="449">
        <v>1.3213999999999999</v>
      </c>
      <c r="F115" s="433">
        <f>+F114</f>
        <v>1.0288999999999999</v>
      </c>
      <c r="G115" s="432">
        <f>+ROUND(E115*F115,4)</f>
        <v>1.3595999999999999</v>
      </c>
      <c r="H115" s="446">
        <v>-2.9000000000000001E-2</v>
      </c>
      <c r="I115" s="432">
        <f t="shared" si="2"/>
        <v>1.3306</v>
      </c>
      <c r="J115" s="232"/>
    </row>
    <row r="116" spans="2:10">
      <c r="B116" s="224" t="s">
        <v>290</v>
      </c>
      <c r="C116" s="385" t="s">
        <v>270</v>
      </c>
      <c r="D116" s="386"/>
      <c r="E116" s="450">
        <v>0.2281</v>
      </c>
      <c r="F116" s="436">
        <f>+F115</f>
        <v>1.0288999999999999</v>
      </c>
      <c r="G116" s="435">
        <f>+ROUND(E116*F116,4)</f>
        <v>0.23469999999999999</v>
      </c>
      <c r="H116" s="437">
        <v>2.76E-2</v>
      </c>
      <c r="I116" s="435">
        <f t="shared" si="2"/>
        <v>0.26229999999999998</v>
      </c>
      <c r="J116" s="232"/>
    </row>
    <row r="117" spans="2:10">
      <c r="B117" s="228" t="s">
        <v>290</v>
      </c>
      <c r="C117" s="379" t="s">
        <v>293</v>
      </c>
      <c r="D117" s="380"/>
      <c r="E117" s="438">
        <f t="shared" ref="E117" si="27">SUM(E114:E116)</f>
        <v>1.7681999999999998</v>
      </c>
      <c r="F117" s="439"/>
      <c r="G117" s="438">
        <f>SUM(G114:G116)</f>
        <v>1.8192999999999999</v>
      </c>
      <c r="H117" s="440">
        <f t="shared" ref="H117:I117" si="28">SUM(H114:H116)</f>
        <v>-2.1000000000000005E-2</v>
      </c>
      <c r="I117" s="438">
        <f t="shared" si="28"/>
        <v>1.7983</v>
      </c>
      <c r="J117" s="232"/>
    </row>
    <row r="118" spans="2:10">
      <c r="B118" s="227">
        <v>11</v>
      </c>
      <c r="C118" s="381" t="s">
        <v>316</v>
      </c>
      <c r="D118" s="382"/>
      <c r="E118" s="448">
        <v>1.0725</v>
      </c>
      <c r="F118" s="442">
        <f>+Factores!F42</f>
        <v>1.0432999999999999</v>
      </c>
      <c r="G118" s="441">
        <f>+ROUND(E118*F118,4)</f>
        <v>1.1189</v>
      </c>
      <c r="H118" s="445">
        <v>9.5899999999999999E-2</v>
      </c>
      <c r="I118" s="441">
        <f t="shared" si="2"/>
        <v>1.2148000000000001</v>
      </c>
      <c r="J118" s="232"/>
    </row>
    <row r="119" spans="2:10">
      <c r="B119" s="224" t="s">
        <v>290</v>
      </c>
      <c r="C119" s="385" t="s">
        <v>270</v>
      </c>
      <c r="D119" s="386"/>
      <c r="E119" s="450">
        <v>0.85389999999999999</v>
      </c>
      <c r="F119" s="433">
        <f>+F118</f>
        <v>1.0432999999999999</v>
      </c>
      <c r="G119" s="435">
        <f>+ROUND(E119*F119,4)</f>
        <v>0.89090000000000003</v>
      </c>
      <c r="H119" s="437">
        <v>6.4500000000000002E-2</v>
      </c>
      <c r="I119" s="435">
        <f t="shared" si="2"/>
        <v>0.95540000000000003</v>
      </c>
      <c r="J119" s="232"/>
    </row>
    <row r="120" spans="2:10">
      <c r="B120" s="228" t="s">
        <v>290</v>
      </c>
      <c r="C120" s="379" t="s">
        <v>293</v>
      </c>
      <c r="D120" s="380"/>
      <c r="E120" s="438">
        <f t="shared" ref="E120" si="29">SUM(E118:E119)</f>
        <v>1.9264000000000001</v>
      </c>
      <c r="F120" s="452"/>
      <c r="G120" s="438">
        <f>SUM(G118:G119)</f>
        <v>2.0098000000000003</v>
      </c>
      <c r="H120" s="440">
        <f t="shared" ref="H120:I120" si="30">SUM(H118:H119)</f>
        <v>0.16039999999999999</v>
      </c>
      <c r="I120" s="438">
        <f t="shared" si="30"/>
        <v>2.1702000000000004</v>
      </c>
      <c r="J120" s="232"/>
    </row>
    <row r="121" spans="2:10">
      <c r="B121" s="227">
        <v>12</v>
      </c>
      <c r="C121" s="381" t="s">
        <v>313</v>
      </c>
      <c r="D121" s="382"/>
      <c r="E121" s="448">
        <v>1.2041999999999999</v>
      </c>
      <c r="F121" s="442">
        <f>+Factores!F43</f>
        <v>0.9748</v>
      </c>
      <c r="G121" s="441">
        <f>+ROUND(E121*F121,4)</f>
        <v>1.1738999999999999</v>
      </c>
      <c r="H121" s="445">
        <v>0.2104</v>
      </c>
      <c r="I121" s="441">
        <f t="shared" si="2"/>
        <v>1.3842999999999999</v>
      </c>
      <c r="J121" s="232"/>
    </row>
    <row r="122" spans="2:10">
      <c r="B122" s="224" t="s">
        <v>290</v>
      </c>
      <c r="C122" s="383" t="s">
        <v>317</v>
      </c>
      <c r="D122" s="384"/>
      <c r="E122" s="449">
        <v>0.4496</v>
      </c>
      <c r="F122" s="433">
        <f>+F121</f>
        <v>0.9748</v>
      </c>
      <c r="G122" s="432">
        <f>+ROUND(E122*F122,4)</f>
        <v>0.43830000000000002</v>
      </c>
      <c r="H122" s="446">
        <v>-4.0500000000000001E-2</v>
      </c>
      <c r="I122" s="432">
        <f t="shared" si="2"/>
        <v>0.39780000000000004</v>
      </c>
      <c r="J122" s="232"/>
    </row>
    <row r="123" spans="2:10">
      <c r="B123" s="224" t="s">
        <v>290</v>
      </c>
      <c r="C123" s="385" t="s">
        <v>318</v>
      </c>
      <c r="D123" s="386"/>
      <c r="E123" s="450">
        <v>0</v>
      </c>
      <c r="F123" s="436">
        <f>+F122</f>
        <v>0.9748</v>
      </c>
      <c r="G123" s="435">
        <f>+ROUND(E123*F123,4)</f>
        <v>0</v>
      </c>
      <c r="H123" s="451">
        <v>-6.7000000000000002E-3</v>
      </c>
      <c r="I123" s="435">
        <f t="shared" si="2"/>
        <v>-6.7000000000000002E-3</v>
      </c>
      <c r="J123" s="232"/>
    </row>
    <row r="124" spans="2:10">
      <c r="B124" s="228" t="s">
        <v>290</v>
      </c>
      <c r="C124" s="379" t="s">
        <v>293</v>
      </c>
      <c r="D124" s="380"/>
      <c r="E124" s="438">
        <f t="shared" ref="E124" si="31">SUM(E121:E123)</f>
        <v>1.6537999999999999</v>
      </c>
      <c r="F124" s="439"/>
      <c r="G124" s="438">
        <f>SUM(G121:G123)</f>
        <v>1.6122000000000001</v>
      </c>
      <c r="H124" s="440">
        <f t="shared" ref="H124:I124" si="32">SUM(H121:H123)</f>
        <v>0.16319999999999998</v>
      </c>
      <c r="I124" s="438">
        <f t="shared" si="32"/>
        <v>1.7753999999999999</v>
      </c>
      <c r="J124" s="232"/>
    </row>
    <row r="125" spans="2:10">
      <c r="B125" s="227">
        <v>13</v>
      </c>
      <c r="C125" s="381" t="s">
        <v>319</v>
      </c>
      <c r="D125" s="382"/>
      <c r="E125" s="448">
        <v>8.8999999999999999E-3</v>
      </c>
      <c r="F125" s="442">
        <f>+Factores!F44</f>
        <v>1.0370999999999999</v>
      </c>
      <c r="G125" s="441">
        <f>+ROUND(E125*F125,4)</f>
        <v>9.1999999999999998E-3</v>
      </c>
      <c r="H125" s="445">
        <v>-1E-4</v>
      </c>
      <c r="I125" s="441">
        <f t="shared" ref="I125:I130" si="33">+H125+G125</f>
        <v>9.1000000000000004E-3</v>
      </c>
      <c r="J125" s="232"/>
    </row>
    <row r="126" spans="2:10">
      <c r="B126" s="224" t="s">
        <v>290</v>
      </c>
      <c r="C126" s="385" t="s">
        <v>313</v>
      </c>
      <c r="D126" s="386"/>
      <c r="E126" s="450">
        <v>0.91579999999999995</v>
      </c>
      <c r="F126" s="433">
        <f>+F125</f>
        <v>1.0370999999999999</v>
      </c>
      <c r="G126" s="435">
        <f>+ROUND(E126*F126,4)</f>
        <v>0.94979999999999998</v>
      </c>
      <c r="H126" s="451">
        <v>-2.2200000000000001E-2</v>
      </c>
      <c r="I126" s="435">
        <f t="shared" si="33"/>
        <v>0.92759999999999998</v>
      </c>
      <c r="J126" s="232"/>
    </row>
    <row r="127" spans="2:10">
      <c r="B127" s="228" t="s">
        <v>290</v>
      </c>
      <c r="C127" s="379" t="s">
        <v>293</v>
      </c>
      <c r="D127" s="380"/>
      <c r="E127" s="438">
        <f t="shared" ref="E127" si="34">SUM(E125:E126)</f>
        <v>0.92469999999999997</v>
      </c>
      <c r="F127" s="452"/>
      <c r="G127" s="438">
        <f>SUM(G125:G126)</f>
        <v>0.95899999999999996</v>
      </c>
      <c r="H127" s="440">
        <f t="shared" ref="H127:I127" si="35">SUM(H125:H126)</f>
        <v>-2.23E-2</v>
      </c>
      <c r="I127" s="438">
        <f t="shared" si="35"/>
        <v>0.93669999999999998</v>
      </c>
      <c r="J127" s="232"/>
    </row>
    <row r="128" spans="2:10">
      <c r="B128" s="224">
        <v>14</v>
      </c>
      <c r="C128" s="385" t="s">
        <v>320</v>
      </c>
      <c r="D128" s="386"/>
      <c r="E128" s="450">
        <v>0.84699999999999998</v>
      </c>
      <c r="F128" s="452">
        <f>+Factores!F45</f>
        <v>1.0617000000000001</v>
      </c>
      <c r="G128" s="435">
        <f>+ROUND(E128*F128,4)</f>
        <v>0.89929999999999999</v>
      </c>
      <c r="H128" s="451">
        <v>-1.4500000000000001E-2</v>
      </c>
      <c r="I128" s="435">
        <f t="shared" si="33"/>
        <v>0.88480000000000003</v>
      </c>
      <c r="J128" s="232"/>
    </row>
    <row r="129" spans="2:22">
      <c r="B129" s="228" t="s">
        <v>290</v>
      </c>
      <c r="C129" s="379" t="s">
        <v>293</v>
      </c>
      <c r="D129" s="380"/>
      <c r="E129" s="438">
        <f t="shared" ref="E129" si="36">SUM(E128)</f>
        <v>0.84699999999999998</v>
      </c>
      <c r="F129" s="439"/>
      <c r="G129" s="438">
        <f>SUM(G128)</f>
        <v>0.89929999999999999</v>
      </c>
      <c r="H129" s="440">
        <f t="shared" ref="H129:I129" si="37">SUM(H128)</f>
        <v>-1.4500000000000001E-2</v>
      </c>
      <c r="I129" s="438">
        <f t="shared" si="37"/>
        <v>0.88480000000000003</v>
      </c>
      <c r="J129" s="232"/>
    </row>
    <row r="130" spans="2:22">
      <c r="B130" s="224">
        <v>15</v>
      </c>
      <c r="C130" s="385" t="s">
        <v>270</v>
      </c>
      <c r="D130" s="386"/>
      <c r="E130" s="450">
        <v>6.4500000000000002E-2</v>
      </c>
      <c r="F130" s="452">
        <f>+Factores!F46</f>
        <v>1.0065999999999999</v>
      </c>
      <c r="G130" s="435">
        <f>+ROUND(E130*F130,4)</f>
        <v>6.4899999999999999E-2</v>
      </c>
      <c r="H130" s="437">
        <v>-8.9999999999999998E-4</v>
      </c>
      <c r="I130" s="435">
        <f t="shared" si="33"/>
        <v>6.4000000000000001E-2</v>
      </c>
      <c r="J130" s="232"/>
    </row>
    <row r="131" spans="2:22">
      <c r="B131" s="228" t="s">
        <v>290</v>
      </c>
      <c r="C131" s="379" t="s">
        <v>293</v>
      </c>
      <c r="D131" s="380"/>
      <c r="E131" s="435">
        <f t="shared" ref="E131" si="38">SUM(E130)</f>
        <v>6.4500000000000002E-2</v>
      </c>
      <c r="F131" s="436"/>
      <c r="G131" s="435">
        <f>SUM(G130)</f>
        <v>6.4899999999999999E-2</v>
      </c>
      <c r="H131" s="437">
        <f t="shared" ref="H131:I131" si="39">SUM(H130)</f>
        <v>-8.9999999999999998E-4</v>
      </c>
      <c r="I131" s="435">
        <f t="shared" si="39"/>
        <v>6.4000000000000001E-2</v>
      </c>
      <c r="J131" s="232"/>
    </row>
    <row r="132" spans="2:22">
      <c r="B132" s="375" t="s">
        <v>568</v>
      </c>
      <c r="C132" s="146"/>
      <c r="D132" s="225"/>
      <c r="E132" s="230"/>
      <c r="F132" s="231"/>
      <c r="G132" s="232"/>
      <c r="H132" s="232"/>
      <c r="I132" s="232"/>
    </row>
    <row r="133" spans="2:22" ht="23.25">
      <c r="B133" s="521" t="s">
        <v>321</v>
      </c>
    </row>
    <row r="134" spans="2:22">
      <c r="B134" s="233" t="s">
        <v>569</v>
      </c>
      <c r="C134" s="233"/>
      <c r="E134" s="233"/>
    </row>
    <row r="135" spans="2:22">
      <c r="B135" s="208" t="str">
        <f>+CONCATENATE("Actualizado al ",TEXT(Historico!O3,"dd/mmmm/yyyy"))</f>
        <v>Actualizado al 04/septiembre/2012</v>
      </c>
      <c r="C135" s="209"/>
      <c r="E135" s="234"/>
      <c r="F135" s="234"/>
    </row>
    <row r="136" spans="2:22" ht="38.25">
      <c r="B136" s="235" t="s">
        <v>379</v>
      </c>
      <c r="C136" s="235" t="s">
        <v>322</v>
      </c>
      <c r="D136" s="236" t="s">
        <v>119</v>
      </c>
      <c r="E136" s="210" t="s">
        <v>254</v>
      </c>
      <c r="F136" s="236" t="s">
        <v>121</v>
      </c>
    </row>
    <row r="137" spans="2:22" ht="25.5">
      <c r="B137" s="394" t="s">
        <v>380</v>
      </c>
      <c r="C137" s="395" t="s">
        <v>532</v>
      </c>
      <c r="D137" s="273">
        <v>0.47270000000000001</v>
      </c>
      <c r="E137" s="273">
        <f>+Factores!F47</f>
        <v>0.83550000000000002</v>
      </c>
      <c r="F137" s="273">
        <f>ROUND(E137*D137,4)</f>
        <v>0.39489999999999997</v>
      </c>
    </row>
    <row r="138" spans="2:22" ht="38.25">
      <c r="B138" s="394" t="s">
        <v>381</v>
      </c>
      <c r="C138" s="395" t="s">
        <v>382</v>
      </c>
      <c r="D138" s="273">
        <v>1.6987000000000001</v>
      </c>
      <c r="E138" s="273">
        <f>+E137</f>
        <v>0.83550000000000002</v>
      </c>
      <c r="F138" s="273">
        <f>ROUND(E138*D138,4)</f>
        <v>1.4193</v>
      </c>
    </row>
    <row r="139" spans="2:22">
      <c r="B139" s="396" t="s">
        <v>385</v>
      </c>
    </row>
    <row r="140" spans="2:22">
      <c r="B140" s="396" t="s">
        <v>386</v>
      </c>
    </row>
    <row r="142" spans="2:22" ht="23.25">
      <c r="B142" s="521" t="s">
        <v>323</v>
      </c>
      <c r="C142" s="237"/>
      <c r="D142" s="237"/>
      <c r="S142" s="245"/>
      <c r="T142" s="245"/>
      <c r="U142" s="245"/>
      <c r="V142" s="245"/>
    </row>
    <row r="143" spans="2:22">
      <c r="B143" s="233" t="s">
        <v>324</v>
      </c>
      <c r="C143" s="237"/>
      <c r="D143" s="237"/>
      <c r="F143" s="376" t="s">
        <v>325</v>
      </c>
      <c r="G143" s="314"/>
      <c r="S143" s="245"/>
      <c r="T143" s="245"/>
      <c r="U143" s="245"/>
      <c r="V143" s="245"/>
    </row>
    <row r="144" spans="2:22">
      <c r="B144" s="238" t="s">
        <v>137</v>
      </c>
      <c r="C144" s="239" t="s">
        <v>326</v>
      </c>
      <c r="D144" s="239" t="s">
        <v>327</v>
      </c>
      <c r="F144" s="458" t="s">
        <v>326</v>
      </c>
      <c r="G144" s="458" t="s">
        <v>327</v>
      </c>
      <c r="S144" s="245"/>
      <c r="T144" s="245"/>
      <c r="U144" s="245"/>
      <c r="V144" s="245"/>
    </row>
    <row r="145" spans="2:22">
      <c r="B145" s="240">
        <v>1</v>
      </c>
      <c r="C145" s="240">
        <v>1.0277000000000001</v>
      </c>
      <c r="D145" s="240">
        <v>1.0261</v>
      </c>
      <c r="F145" s="274">
        <v>1.0277000000000001</v>
      </c>
      <c r="G145" s="274">
        <v>1.0261</v>
      </c>
      <c r="S145" s="245"/>
      <c r="T145" s="245"/>
      <c r="U145" s="245"/>
      <c r="V145" s="245"/>
    </row>
    <row r="146" spans="2:22">
      <c r="B146" s="240">
        <v>2</v>
      </c>
      <c r="C146" s="240">
        <v>1.0303</v>
      </c>
      <c r="D146" s="240">
        <v>1.0262</v>
      </c>
      <c r="F146" s="274">
        <v>1.006250610411173</v>
      </c>
      <c r="G146" s="274">
        <v>1.0046994321519482</v>
      </c>
      <c r="S146" s="245"/>
      <c r="T146" s="245"/>
      <c r="U146" s="245"/>
      <c r="V146" s="245"/>
    </row>
    <row r="147" spans="2:22">
      <c r="B147" s="240">
        <v>3</v>
      </c>
      <c r="C147" s="240">
        <v>1.0230999999999999</v>
      </c>
      <c r="D147" s="240">
        <v>1.0186999999999999</v>
      </c>
      <c r="F147" s="274">
        <v>1.004911108928396</v>
      </c>
      <c r="G147" s="274">
        <v>1.0041399704287826</v>
      </c>
      <c r="S147" s="245"/>
      <c r="T147" s="245"/>
      <c r="U147" s="245"/>
      <c r="V147" s="245"/>
    </row>
    <row r="148" spans="2:22">
      <c r="B148" s="240">
        <v>4</v>
      </c>
      <c r="C148" s="240">
        <v>1.0163</v>
      </c>
      <c r="D148" s="240">
        <v>1.0107999999999999</v>
      </c>
      <c r="F148" s="274">
        <v>1.0163</v>
      </c>
      <c r="G148" s="274">
        <v>1.0107999999999999</v>
      </c>
      <c r="S148" s="245"/>
      <c r="T148" s="245"/>
      <c r="U148" s="245"/>
      <c r="V148" s="245"/>
    </row>
    <row r="149" spans="2:22">
      <c r="B149" s="240">
        <v>5</v>
      </c>
      <c r="C149" s="240">
        <v>1.0247999999999999</v>
      </c>
      <c r="D149" s="240">
        <v>1.0224</v>
      </c>
      <c r="F149" s="274">
        <v>1.0061855670103093</v>
      </c>
      <c r="G149" s="274">
        <v>1.0059031877213696</v>
      </c>
      <c r="S149" s="245"/>
      <c r="T149" s="245"/>
      <c r="U149" s="245"/>
      <c r="V149" s="245"/>
    </row>
    <row r="150" spans="2:22">
      <c r="B150" s="240">
        <v>6</v>
      </c>
      <c r="C150" s="240">
        <v>1.0224</v>
      </c>
      <c r="D150" s="240">
        <v>1.0196000000000001</v>
      </c>
      <c r="F150" s="274">
        <v>1.0074891604256997</v>
      </c>
      <c r="G150" s="274">
        <v>1.0066146707473591</v>
      </c>
      <c r="S150" s="245"/>
      <c r="T150" s="245"/>
      <c r="U150" s="245"/>
      <c r="V150" s="245"/>
    </row>
    <row r="151" spans="2:22">
      <c r="B151" s="240">
        <v>7</v>
      </c>
      <c r="C151" s="278">
        <v>1.0266</v>
      </c>
      <c r="D151" s="278">
        <v>1.0269999999999999</v>
      </c>
      <c r="F151" s="274">
        <v>1.0069641981363413</v>
      </c>
      <c r="G151" s="274">
        <v>1.0071589683240167</v>
      </c>
      <c r="S151" s="245"/>
      <c r="T151" s="245"/>
      <c r="U151" s="245"/>
      <c r="V151" s="245"/>
    </row>
    <row r="152" spans="2:22">
      <c r="B152" s="240">
        <v>8</v>
      </c>
      <c r="C152" s="240">
        <v>1.0358000000000001</v>
      </c>
      <c r="D152" s="240">
        <v>1.0345</v>
      </c>
      <c r="F152" s="274">
        <v>1.0358000000000001</v>
      </c>
      <c r="G152" s="274">
        <v>1.0345</v>
      </c>
      <c r="S152" s="245"/>
      <c r="T152" s="245"/>
      <c r="U152" s="245"/>
      <c r="V152" s="245"/>
    </row>
    <row r="153" spans="2:22">
      <c r="B153" s="240">
        <v>9</v>
      </c>
      <c r="C153" s="240">
        <v>1.0327</v>
      </c>
      <c r="D153" s="240">
        <v>1.0291999999999999</v>
      </c>
      <c r="F153" s="274">
        <v>1.0060399415489527</v>
      </c>
      <c r="G153" s="274">
        <v>1.0055691255495847</v>
      </c>
      <c r="S153" s="245"/>
      <c r="T153" s="245"/>
      <c r="U153" s="245"/>
      <c r="V153" s="245"/>
    </row>
    <row r="154" spans="2:22">
      <c r="B154" s="240">
        <v>10</v>
      </c>
      <c r="C154" s="240">
        <v>1.0139</v>
      </c>
      <c r="D154" s="240">
        <v>1.0126999999999999</v>
      </c>
      <c r="F154" s="274">
        <v>1.0044580939171786</v>
      </c>
      <c r="G154" s="274">
        <v>1.0050615323541086</v>
      </c>
      <c r="S154" s="245"/>
      <c r="T154" s="245"/>
      <c r="U154" s="245"/>
      <c r="V154" s="245"/>
    </row>
    <row r="155" spans="2:22">
      <c r="B155" s="240">
        <v>11</v>
      </c>
      <c r="C155" s="240">
        <v>1.0266999999999999</v>
      </c>
      <c r="D155" s="240">
        <v>1.0165999999999999</v>
      </c>
      <c r="F155" s="274">
        <v>1.0266999999999999</v>
      </c>
      <c r="G155" s="274">
        <v>1.0165999999999999</v>
      </c>
      <c r="S155" s="245"/>
      <c r="T155" s="245"/>
      <c r="U155" s="245"/>
      <c r="V155" s="245"/>
    </row>
    <row r="156" spans="2:22">
      <c r="B156" s="240">
        <v>12</v>
      </c>
      <c r="C156" s="240">
        <v>1.004</v>
      </c>
      <c r="D156" s="240">
        <v>1.0043</v>
      </c>
      <c r="F156" s="274">
        <v>1.004</v>
      </c>
      <c r="G156" s="274">
        <v>1.0043</v>
      </c>
      <c r="M156" s="241"/>
      <c r="N156" s="241"/>
    </row>
    <row r="157" spans="2:22">
      <c r="B157" s="240">
        <v>13</v>
      </c>
      <c r="C157" s="240">
        <v>1.0275000000000001</v>
      </c>
      <c r="D157" s="240">
        <v>1.0179</v>
      </c>
      <c r="F157" s="274">
        <v>1.0275000000000001</v>
      </c>
      <c r="G157" s="274">
        <v>1.0179</v>
      </c>
      <c r="K157" s="241"/>
      <c r="L157" s="241"/>
    </row>
    <row r="158" spans="2:22">
      <c r="B158" s="240">
        <v>14</v>
      </c>
      <c r="C158" s="240">
        <v>1.0147999999999999</v>
      </c>
      <c r="D158" s="240">
        <v>1.0121</v>
      </c>
      <c r="F158" s="274">
        <v>1.0147999999999999</v>
      </c>
      <c r="G158" s="274">
        <v>1.0121</v>
      </c>
    </row>
    <row r="159" spans="2:22">
      <c r="F159" s="277" t="s">
        <v>328</v>
      </c>
      <c r="H159" s="241"/>
      <c r="I159" s="241"/>
      <c r="J159" s="241"/>
    </row>
    <row r="161" spans="2:14">
      <c r="K161" s="351"/>
    </row>
    <row r="162" spans="2:14">
      <c r="B162" s="242" t="s">
        <v>326</v>
      </c>
      <c r="F162" s="214"/>
      <c r="G162" s="242" t="s">
        <v>327</v>
      </c>
      <c r="K162" s="351"/>
    </row>
    <row r="163" spans="2:14">
      <c r="B163" s="238" t="s">
        <v>329</v>
      </c>
      <c r="C163" s="239" t="s">
        <v>330</v>
      </c>
      <c r="D163" s="239" t="s">
        <v>331</v>
      </c>
      <c r="E163" s="212" t="s">
        <v>332</v>
      </c>
      <c r="F163" s="214"/>
      <c r="G163" s="238" t="s">
        <v>329</v>
      </c>
      <c r="H163" s="239" t="s">
        <v>330</v>
      </c>
      <c r="I163" s="239" t="s">
        <v>331</v>
      </c>
      <c r="J163" s="212" t="s">
        <v>332</v>
      </c>
      <c r="K163" s="351"/>
    </row>
    <row r="164" spans="2:14">
      <c r="B164" s="212">
        <v>1</v>
      </c>
      <c r="C164" s="213">
        <v>1</v>
      </c>
      <c r="D164" s="212">
        <v>1.0219</v>
      </c>
      <c r="E164" s="212">
        <v>1.0277000000000001</v>
      </c>
      <c r="F164" s="214"/>
      <c r="G164" s="212">
        <v>1</v>
      </c>
      <c r="H164" s="213">
        <v>1</v>
      </c>
      <c r="I164" s="212">
        <v>1.0212000000000001</v>
      </c>
      <c r="J164" s="212">
        <v>1.0261</v>
      </c>
      <c r="K164" s="351"/>
    </row>
    <row r="165" spans="2:14">
      <c r="B165" s="212">
        <v>2</v>
      </c>
      <c r="C165" s="213">
        <v>1.0009999999999999</v>
      </c>
      <c r="D165" s="212">
        <v>1.0239</v>
      </c>
      <c r="E165" s="212">
        <v>1.0303</v>
      </c>
      <c r="F165" s="214"/>
      <c r="G165" s="212">
        <v>2</v>
      </c>
      <c r="H165" s="213">
        <v>1.0006999999999999</v>
      </c>
      <c r="I165" s="212">
        <v>1.0214000000000001</v>
      </c>
      <c r="J165" s="212">
        <v>1.0262</v>
      </c>
      <c r="K165" s="351"/>
    </row>
    <row r="166" spans="2:14">
      <c r="B166" s="212">
        <v>3</v>
      </c>
      <c r="C166" s="213">
        <v>1.0041</v>
      </c>
      <c r="D166" s="212">
        <v>1.0181</v>
      </c>
      <c r="E166" s="212">
        <v>1.0230999999999999</v>
      </c>
      <c r="G166" s="212">
        <v>3</v>
      </c>
      <c r="H166" s="213">
        <v>1.0029999999999999</v>
      </c>
      <c r="I166" s="212">
        <v>1.0145</v>
      </c>
      <c r="J166" s="212">
        <v>1.0186999999999999</v>
      </c>
      <c r="K166" s="351"/>
    </row>
    <row r="167" spans="2:14">
      <c r="B167" s="212">
        <v>4</v>
      </c>
      <c r="C167" s="213">
        <v>1</v>
      </c>
      <c r="D167" s="212">
        <v>1.012</v>
      </c>
      <c r="E167" s="212">
        <v>1.0163</v>
      </c>
      <c r="G167" s="212">
        <v>4</v>
      </c>
      <c r="H167" s="213">
        <v>1</v>
      </c>
      <c r="I167" s="212">
        <v>1.008</v>
      </c>
      <c r="J167" s="212">
        <v>1.0107999999999999</v>
      </c>
      <c r="K167" s="351"/>
      <c r="N167" t="s">
        <v>333</v>
      </c>
    </row>
    <row r="168" spans="2:14">
      <c r="B168" s="212">
        <v>5</v>
      </c>
      <c r="C168" s="213">
        <v>1.0014000000000001</v>
      </c>
      <c r="D168" s="212">
        <v>1.0185</v>
      </c>
      <c r="E168" s="212">
        <v>1.0247999999999999</v>
      </c>
      <c r="G168" s="212">
        <v>5</v>
      </c>
      <c r="H168" s="213">
        <v>1.0013000000000001</v>
      </c>
      <c r="I168" s="212">
        <v>1.0164</v>
      </c>
      <c r="J168" s="212">
        <v>1.0224</v>
      </c>
      <c r="K168" s="351"/>
    </row>
    <row r="169" spans="2:14">
      <c r="B169" s="212">
        <v>6</v>
      </c>
      <c r="C169" s="213">
        <v>1.0011000000000001</v>
      </c>
      <c r="D169" s="212">
        <v>1.0147999999999999</v>
      </c>
      <c r="E169" s="212">
        <v>1.0224</v>
      </c>
      <c r="G169" s="212">
        <v>6</v>
      </c>
      <c r="H169" s="213">
        <v>1.0009999999999999</v>
      </c>
      <c r="I169" s="212">
        <v>1.0128999999999999</v>
      </c>
      <c r="J169" s="212">
        <v>1.0196000000000001</v>
      </c>
      <c r="K169" s="351"/>
    </row>
    <row r="170" spans="2:14">
      <c r="B170" s="275">
        <v>7</v>
      </c>
      <c r="C170" s="276">
        <v>1.0016</v>
      </c>
      <c r="D170" s="275">
        <v>1.0195000000000001</v>
      </c>
      <c r="E170" s="275">
        <v>1.0266</v>
      </c>
      <c r="F170" t="s">
        <v>333</v>
      </c>
      <c r="G170" s="275">
        <v>7</v>
      </c>
      <c r="H170" s="276">
        <v>1.0017</v>
      </c>
      <c r="I170" s="275">
        <v>1.0197000000000001</v>
      </c>
      <c r="J170" s="275">
        <v>1.0269999999999999</v>
      </c>
      <c r="K170" s="351"/>
    </row>
    <row r="171" spans="2:14">
      <c r="B171" s="212">
        <v>8</v>
      </c>
      <c r="C171" s="213">
        <v>1</v>
      </c>
      <c r="D171" s="212">
        <v>1.0315000000000001</v>
      </c>
      <c r="E171" s="212">
        <v>1.0358000000000001</v>
      </c>
      <c r="G171" s="212">
        <v>8</v>
      </c>
      <c r="H171" s="213">
        <v>1</v>
      </c>
      <c r="I171" s="212">
        <v>1.0313000000000001</v>
      </c>
      <c r="J171" s="212">
        <v>1.0345</v>
      </c>
      <c r="K171" s="351"/>
    </row>
    <row r="172" spans="2:14">
      <c r="B172" s="212">
        <v>9</v>
      </c>
      <c r="C172" s="213">
        <v>1.0028999999999999</v>
      </c>
      <c r="D172" s="212">
        <v>1.0265</v>
      </c>
      <c r="E172" s="212">
        <v>1.0327</v>
      </c>
      <c r="G172" s="212">
        <v>9</v>
      </c>
      <c r="H172" s="213">
        <v>1.0026999999999999</v>
      </c>
      <c r="I172" s="212">
        <v>1.0235000000000001</v>
      </c>
      <c r="J172" s="212">
        <v>1.0291999999999999</v>
      </c>
      <c r="K172" s="351"/>
    </row>
    <row r="173" spans="2:14">
      <c r="B173" s="212">
        <v>10</v>
      </c>
      <c r="C173" s="213">
        <v>1.0022</v>
      </c>
      <c r="D173" s="212">
        <v>1.0094000000000001</v>
      </c>
      <c r="E173" s="212">
        <v>1.0139</v>
      </c>
      <c r="G173" s="212">
        <v>10</v>
      </c>
      <c r="H173" s="213">
        <v>1.0015000000000001</v>
      </c>
      <c r="I173" s="212">
        <v>1.0076000000000001</v>
      </c>
      <c r="J173" s="212">
        <v>1.0126999999999999</v>
      </c>
      <c r="K173" s="351"/>
    </row>
    <row r="174" spans="2:14">
      <c r="B174" s="212">
        <v>11</v>
      </c>
      <c r="C174" s="213">
        <v>1</v>
      </c>
      <c r="D174" s="212">
        <v>1.0239</v>
      </c>
      <c r="E174" s="212">
        <v>1.0266999999999999</v>
      </c>
      <c r="G174" s="212">
        <v>11</v>
      </c>
      <c r="H174" s="213">
        <v>1</v>
      </c>
      <c r="I174" s="212">
        <v>1.0147999999999999</v>
      </c>
      <c r="J174" s="212">
        <v>1.0165999999999999</v>
      </c>
      <c r="K174" s="351"/>
    </row>
    <row r="175" spans="2:14">
      <c r="B175" s="212">
        <v>12</v>
      </c>
      <c r="C175" s="213">
        <v>1</v>
      </c>
      <c r="D175" s="212">
        <v>1.0004999999999999</v>
      </c>
      <c r="E175" s="212">
        <v>1.004</v>
      </c>
      <c r="G175" s="212">
        <v>12</v>
      </c>
      <c r="H175" s="213">
        <v>1</v>
      </c>
      <c r="I175" s="212">
        <v>1.0002</v>
      </c>
      <c r="J175" s="212">
        <v>1.0043</v>
      </c>
      <c r="K175" s="351"/>
    </row>
    <row r="176" spans="2:14">
      <c r="B176" s="212">
        <v>13</v>
      </c>
      <c r="C176" s="213">
        <v>1</v>
      </c>
      <c r="D176" s="212">
        <v>1.0168999999999999</v>
      </c>
      <c r="E176" s="212">
        <v>1.0275000000000001</v>
      </c>
      <c r="G176" s="212">
        <v>13</v>
      </c>
      <c r="H176" s="213">
        <v>1</v>
      </c>
      <c r="I176" s="212">
        <v>1.0103</v>
      </c>
      <c r="J176" s="212">
        <v>1.0179</v>
      </c>
      <c r="K176" s="351"/>
    </row>
    <row r="177" spans="2:10">
      <c r="B177" s="212">
        <v>14</v>
      </c>
      <c r="C177" s="213">
        <v>1</v>
      </c>
      <c r="D177" s="212">
        <v>1.0068999999999999</v>
      </c>
      <c r="E177" s="212">
        <v>1.0147999999999999</v>
      </c>
      <c r="G177" s="212">
        <v>14</v>
      </c>
      <c r="H177" s="213">
        <v>1</v>
      </c>
      <c r="I177" s="212">
        <v>1.0059</v>
      </c>
      <c r="J177" s="212">
        <v>1.0121</v>
      </c>
    </row>
  </sheetData>
  <mergeCells count="14">
    <mergeCell ref="B38:G38"/>
    <mergeCell ref="B35:F35"/>
    <mergeCell ref="B17:C17"/>
    <mergeCell ref="B4:F4"/>
    <mergeCell ref="B10:C10"/>
    <mergeCell ref="B11:C11"/>
    <mergeCell ref="B12:C12"/>
    <mergeCell ref="B8:C8"/>
    <mergeCell ref="B9:C9"/>
    <mergeCell ref="B13:C13"/>
    <mergeCell ref="D6:F6"/>
    <mergeCell ref="B14:C14"/>
    <mergeCell ref="B15:C15"/>
    <mergeCell ref="B16:C16"/>
  </mergeCells>
  <phoneticPr fontId="50" type="noConversion"/>
  <hyperlinks>
    <hyperlink ref="K34" r:id="rId1"/>
  </hyperlinks>
  <printOptions horizontalCentered="1"/>
  <pageMargins left="0.74803149606299213" right="0.74803149606299213" top="0.27559055118110237" bottom="0.27559055118110237" header="0" footer="0"/>
  <pageSetup paperSize="9" scale="47" fitToHeight="3" orientation="landscape" r:id="rId2"/>
  <headerFooter alignWithMargins="0"/>
  <rowBreaks count="1" manualBreakCount="1">
    <brk id="56" max="9" man="1"/>
  </rowBreaks>
  <drawing r:id="rId3"/>
  <legacy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9"/>
  <sheetViews>
    <sheetView showGridLines="0" zoomScaleNormal="100" zoomScaleSheetLayoutView="70" workbookViewId="0"/>
  </sheetViews>
  <sheetFormatPr baseColWidth="10" defaultColWidth="7.21875" defaultRowHeight="14.25"/>
  <cols>
    <col min="1" max="1" width="71.44140625" style="56" customWidth="1"/>
    <col min="2" max="2" width="11.109375" style="16" customWidth="1"/>
    <col min="3" max="7" width="11.109375" style="27" customWidth="1"/>
    <col min="8" max="15" width="11.109375" style="1" customWidth="1"/>
    <col min="16" max="16" width="6.6640625" style="1" customWidth="1"/>
    <col min="17" max="16384" width="7.21875" style="1"/>
  </cols>
  <sheetData>
    <row r="1" spans="1:15" ht="26.25">
      <c r="A1" s="511" t="s">
        <v>384</v>
      </c>
      <c r="B1" s="508"/>
      <c r="C1" s="508"/>
      <c r="D1" s="508"/>
      <c r="E1" s="509"/>
      <c r="F1" s="509"/>
      <c r="G1" s="509"/>
      <c r="H1" s="509"/>
      <c r="I1" s="509"/>
      <c r="J1" s="509"/>
      <c r="K1" s="509"/>
      <c r="L1" s="509"/>
      <c r="M1" s="509"/>
      <c r="N1" s="509"/>
    </row>
    <row r="2" spans="1:15" ht="15.75">
      <c r="A2" s="255"/>
      <c r="B2" s="256"/>
      <c r="C2" s="256"/>
      <c r="D2" s="256"/>
      <c r="E2" s="256"/>
      <c r="F2" s="256"/>
      <c r="G2" s="256"/>
      <c r="H2" s="256"/>
      <c r="I2" s="256"/>
    </row>
    <row r="3" spans="1:15" ht="15">
      <c r="A3" s="131" t="s">
        <v>9</v>
      </c>
      <c r="B3" s="460">
        <v>40820</v>
      </c>
      <c r="C3" s="460">
        <v>40848</v>
      </c>
      <c r="D3" s="461">
        <v>40851</v>
      </c>
      <c r="E3" s="461">
        <v>40881</v>
      </c>
      <c r="F3" s="461">
        <v>40912</v>
      </c>
      <c r="G3" s="461">
        <v>40943</v>
      </c>
      <c r="H3" s="461">
        <v>40972</v>
      </c>
      <c r="I3" s="461">
        <v>41003</v>
      </c>
      <c r="J3" s="461">
        <v>41030</v>
      </c>
      <c r="K3" s="461">
        <v>41033</v>
      </c>
      <c r="L3" s="461">
        <v>41064</v>
      </c>
      <c r="M3" s="461">
        <v>41094</v>
      </c>
      <c r="N3" s="461">
        <v>41125</v>
      </c>
      <c r="O3" s="461">
        <v>41156</v>
      </c>
    </row>
    <row r="4" spans="1:15">
      <c r="A4" s="133" t="s">
        <v>249</v>
      </c>
      <c r="B4" s="95" t="s">
        <v>290</v>
      </c>
      <c r="C4" s="95" t="s">
        <v>290</v>
      </c>
      <c r="D4" s="326" t="s">
        <v>290</v>
      </c>
      <c r="E4" s="82" t="s">
        <v>290</v>
      </c>
      <c r="F4" s="82" t="s">
        <v>290</v>
      </c>
      <c r="G4" s="82" t="s">
        <v>290</v>
      </c>
      <c r="H4" s="82" t="s">
        <v>290</v>
      </c>
      <c r="I4" s="82" t="s">
        <v>290</v>
      </c>
      <c r="J4" s="82" t="s">
        <v>290</v>
      </c>
      <c r="K4" s="82" t="s">
        <v>290</v>
      </c>
      <c r="L4" s="82" t="s">
        <v>290</v>
      </c>
      <c r="M4" s="82" t="s">
        <v>290</v>
      </c>
      <c r="N4" s="82" t="s">
        <v>290</v>
      </c>
      <c r="O4" s="82" t="str">
        <f>+Factores!F4</f>
        <v/>
      </c>
    </row>
    <row r="5" spans="1:15">
      <c r="A5" s="134" t="s">
        <v>31</v>
      </c>
      <c r="B5" s="308" t="s">
        <v>290</v>
      </c>
      <c r="C5" s="308" t="s">
        <v>290</v>
      </c>
      <c r="D5" s="327" t="s">
        <v>290</v>
      </c>
      <c r="E5" s="98" t="s">
        <v>290</v>
      </c>
      <c r="F5" s="98" t="s">
        <v>290</v>
      </c>
      <c r="G5" s="98" t="s">
        <v>290</v>
      </c>
      <c r="H5" s="98" t="s">
        <v>290</v>
      </c>
      <c r="I5" s="98" t="s">
        <v>290</v>
      </c>
      <c r="J5" s="98" t="s">
        <v>290</v>
      </c>
      <c r="K5" s="98" t="s">
        <v>290</v>
      </c>
      <c r="L5" s="98" t="s">
        <v>290</v>
      </c>
      <c r="M5" s="98" t="s">
        <v>290</v>
      </c>
      <c r="N5" s="98" t="s">
        <v>290</v>
      </c>
      <c r="O5" s="98" t="str">
        <f>+Factores!F5</f>
        <v/>
      </c>
    </row>
    <row r="6" spans="1:15" ht="18">
      <c r="A6" s="135" t="s">
        <v>41</v>
      </c>
      <c r="B6" s="309">
        <v>1.0069999999999999</v>
      </c>
      <c r="C6" s="309">
        <v>1.0069999999999999</v>
      </c>
      <c r="D6" s="328">
        <v>1.0069999999999999</v>
      </c>
      <c r="E6" s="99">
        <v>1.0069999999999999</v>
      </c>
      <c r="F6" s="99">
        <v>1.0069999999999999</v>
      </c>
      <c r="G6" s="99">
        <v>1.0069999999999999</v>
      </c>
      <c r="H6" s="99">
        <v>0.97330000000000005</v>
      </c>
      <c r="I6" s="99">
        <v>0.97330000000000005</v>
      </c>
      <c r="J6" s="99">
        <v>1</v>
      </c>
      <c r="K6" s="99">
        <v>0.99260000000000004</v>
      </c>
      <c r="L6" s="99">
        <v>0.99260000000000004</v>
      </c>
      <c r="M6" s="99">
        <v>0.99260000000000004</v>
      </c>
      <c r="N6" s="99">
        <v>0.99260000000000004</v>
      </c>
      <c r="O6" s="99">
        <f>+Factores!F6</f>
        <v>0.99260000000000004</v>
      </c>
    </row>
    <row r="7" spans="1:15" ht="18">
      <c r="A7" s="134" t="s">
        <v>32</v>
      </c>
      <c r="B7" s="310" t="s">
        <v>290</v>
      </c>
      <c r="C7" s="310" t="s">
        <v>290</v>
      </c>
      <c r="D7" s="329" t="s">
        <v>290</v>
      </c>
      <c r="E7" s="99" t="s">
        <v>290</v>
      </c>
      <c r="F7" s="99" t="s">
        <v>290</v>
      </c>
      <c r="G7" s="99" t="s">
        <v>290</v>
      </c>
      <c r="H7" s="99" t="s">
        <v>290</v>
      </c>
      <c r="I7" s="99" t="s">
        <v>290</v>
      </c>
      <c r="J7" s="99" t="s">
        <v>290</v>
      </c>
      <c r="K7" s="99" t="s">
        <v>290</v>
      </c>
      <c r="L7" s="99" t="s">
        <v>290</v>
      </c>
      <c r="M7" s="99" t="s">
        <v>290</v>
      </c>
      <c r="N7" s="99" t="s">
        <v>290</v>
      </c>
      <c r="O7" s="99" t="str">
        <f>+Factores!F7</f>
        <v/>
      </c>
    </row>
    <row r="8" spans="1:15" ht="18">
      <c r="A8" s="137" t="s">
        <v>33</v>
      </c>
      <c r="B8" s="309">
        <v>1.0077</v>
      </c>
      <c r="C8" s="309">
        <v>1.0077</v>
      </c>
      <c r="D8" s="328">
        <v>1.0077</v>
      </c>
      <c r="E8" s="99">
        <v>1.0077</v>
      </c>
      <c r="F8" s="99">
        <v>1.0077</v>
      </c>
      <c r="G8" s="99">
        <v>1.0077</v>
      </c>
      <c r="H8" s="99">
        <v>0.98199999999999998</v>
      </c>
      <c r="I8" s="99">
        <v>0.98199999999999998</v>
      </c>
      <c r="J8" s="99">
        <v>1</v>
      </c>
      <c r="K8" s="99">
        <v>0.98699999999999999</v>
      </c>
      <c r="L8" s="99">
        <v>0.98699999999999999</v>
      </c>
      <c r="M8" s="99">
        <v>0.98699999999999999</v>
      </c>
      <c r="N8" s="99">
        <v>0.98699999999999999</v>
      </c>
      <c r="O8" s="99">
        <f>+Factores!F8</f>
        <v>0.98699999999999999</v>
      </c>
    </row>
    <row r="9" spans="1:15" ht="18">
      <c r="A9" s="138" t="s">
        <v>34</v>
      </c>
      <c r="B9" s="309">
        <v>1.0162</v>
      </c>
      <c r="C9" s="309">
        <v>1.0162</v>
      </c>
      <c r="D9" s="328">
        <v>1.0162</v>
      </c>
      <c r="E9" s="99">
        <v>1.0162</v>
      </c>
      <c r="F9" s="99">
        <v>1.0162</v>
      </c>
      <c r="G9" s="99">
        <v>1.0162</v>
      </c>
      <c r="H9" s="99">
        <v>1.0162</v>
      </c>
      <c r="I9" s="99">
        <v>1.0162</v>
      </c>
      <c r="J9" s="99">
        <v>1</v>
      </c>
      <c r="K9" s="99">
        <v>0.99939999999999996</v>
      </c>
      <c r="L9" s="99">
        <v>0.99939999999999996</v>
      </c>
      <c r="M9" s="99">
        <v>0.99780000000000002</v>
      </c>
      <c r="N9" s="99">
        <v>0.99780000000000002</v>
      </c>
      <c r="O9" s="99">
        <f>+Factores!F9</f>
        <v>0.98909999999999998</v>
      </c>
    </row>
    <row r="10" spans="1:15" ht="18">
      <c r="A10" s="138" t="s">
        <v>35</v>
      </c>
      <c r="B10" s="309">
        <v>1.0162</v>
      </c>
      <c r="C10" s="309">
        <v>1.0162</v>
      </c>
      <c r="D10" s="328">
        <v>1.0162</v>
      </c>
      <c r="E10" s="99">
        <v>1.0162</v>
      </c>
      <c r="F10" s="99">
        <v>1.0162</v>
      </c>
      <c r="G10" s="99">
        <v>1.0162</v>
      </c>
      <c r="H10" s="99">
        <v>1.0162</v>
      </c>
      <c r="I10" s="99">
        <v>1.0162</v>
      </c>
      <c r="J10" s="99">
        <v>1</v>
      </c>
      <c r="K10" s="99">
        <v>0.99939999999999996</v>
      </c>
      <c r="L10" s="99">
        <v>0.99939999999999996</v>
      </c>
      <c r="M10" s="99">
        <v>0.99780000000000002</v>
      </c>
      <c r="N10" s="99">
        <v>0.99780000000000002</v>
      </c>
      <c r="O10" s="99">
        <f>+Factores!F10</f>
        <v>0.98909999999999998</v>
      </c>
    </row>
    <row r="11" spans="1:15" ht="18">
      <c r="A11" s="138" t="s">
        <v>12</v>
      </c>
      <c r="B11" s="309">
        <v>1.0162</v>
      </c>
      <c r="C11" s="309">
        <v>1.0162</v>
      </c>
      <c r="D11" s="328">
        <v>1.0162</v>
      </c>
      <c r="E11" s="99">
        <v>1.0162</v>
      </c>
      <c r="F11" s="99">
        <v>1.0162</v>
      </c>
      <c r="G11" s="99">
        <v>1.0162</v>
      </c>
      <c r="H11" s="99">
        <v>1.0162</v>
      </c>
      <c r="I11" s="99">
        <v>1.0162</v>
      </c>
      <c r="J11" s="99">
        <v>1</v>
      </c>
      <c r="K11" s="99">
        <v>0.99939999999999996</v>
      </c>
      <c r="L11" s="99">
        <v>0.99939999999999996</v>
      </c>
      <c r="M11" s="99">
        <v>0.99780000000000002</v>
      </c>
      <c r="N11" s="99">
        <v>0.99780000000000002</v>
      </c>
      <c r="O11" s="99">
        <f>+Factores!F11</f>
        <v>0.98909999999999998</v>
      </c>
    </row>
    <row r="12" spans="1:15" ht="18">
      <c r="A12" s="137" t="s">
        <v>562</v>
      </c>
      <c r="B12" s="309"/>
      <c r="C12" s="309"/>
      <c r="D12" s="328"/>
      <c r="E12" s="99"/>
      <c r="F12" s="99"/>
      <c r="G12" s="99"/>
      <c r="H12" s="99"/>
      <c r="I12" s="99"/>
      <c r="J12" s="99">
        <v>1</v>
      </c>
      <c r="K12" s="99">
        <v>0.99939999999999996</v>
      </c>
      <c r="L12" s="99">
        <v>0.99939999999999996</v>
      </c>
      <c r="M12" s="99">
        <v>0.99780000000000002</v>
      </c>
      <c r="N12" s="99">
        <v>0.99780000000000002</v>
      </c>
      <c r="O12" s="99">
        <f>+Factores!F12</f>
        <v>0.98909999999999998</v>
      </c>
    </row>
    <row r="13" spans="1:15" ht="18">
      <c r="A13" s="138" t="s">
        <v>36</v>
      </c>
      <c r="B13" s="309">
        <v>1.0820000000000001</v>
      </c>
      <c r="C13" s="309">
        <v>1.0820000000000001</v>
      </c>
      <c r="D13" s="328">
        <v>1.0820000000000001</v>
      </c>
      <c r="E13" s="99">
        <v>1.0820000000000001</v>
      </c>
      <c r="F13" s="99">
        <v>1.0820000000000001</v>
      </c>
      <c r="G13" s="99">
        <v>1.0820000000000001</v>
      </c>
      <c r="H13" s="99">
        <v>1.0820000000000001</v>
      </c>
      <c r="I13" s="99">
        <v>1.0820000000000001</v>
      </c>
      <c r="J13" s="99">
        <v>1</v>
      </c>
      <c r="K13" s="99">
        <v>1.0251999999999999</v>
      </c>
      <c r="L13" s="99">
        <v>1.0251999999999999</v>
      </c>
      <c r="M13" s="99">
        <v>0.99790000000000001</v>
      </c>
      <c r="N13" s="99">
        <v>0.99790000000000001</v>
      </c>
      <c r="O13" s="99">
        <f>+Factores!F13</f>
        <v>0.99929999999999997</v>
      </c>
    </row>
    <row r="14" spans="1:15" ht="18">
      <c r="A14" s="138" t="s">
        <v>37</v>
      </c>
      <c r="B14" s="309">
        <v>1.1009</v>
      </c>
      <c r="C14" s="309">
        <v>1.1009</v>
      </c>
      <c r="D14" s="328">
        <v>1.1009</v>
      </c>
      <c r="E14" s="99">
        <v>1.1009</v>
      </c>
      <c r="F14" s="99">
        <v>1.1009</v>
      </c>
      <c r="G14" s="99">
        <v>1.1009</v>
      </c>
      <c r="H14" s="99">
        <v>1.1009</v>
      </c>
      <c r="I14" s="99">
        <v>1.1009</v>
      </c>
      <c r="J14" s="99">
        <v>1</v>
      </c>
      <c r="K14" s="99">
        <v>1.0139</v>
      </c>
      <c r="L14" s="99">
        <v>1.0139</v>
      </c>
      <c r="M14" s="99">
        <v>0.99980000000000002</v>
      </c>
      <c r="N14" s="99">
        <v>0.99980000000000002</v>
      </c>
      <c r="O14" s="99">
        <f>+Factores!F14</f>
        <v>1.0184</v>
      </c>
    </row>
    <row r="15" spans="1:15" ht="18">
      <c r="A15" s="138" t="s">
        <v>38</v>
      </c>
      <c r="B15" s="309">
        <v>1.0162</v>
      </c>
      <c r="C15" s="309">
        <v>1.0162</v>
      </c>
      <c r="D15" s="328">
        <v>1.0162</v>
      </c>
      <c r="E15" s="99">
        <v>1.0162</v>
      </c>
      <c r="F15" s="99">
        <v>1.0162</v>
      </c>
      <c r="G15" s="99">
        <v>1.0162</v>
      </c>
      <c r="H15" s="99">
        <v>1.0162</v>
      </c>
      <c r="I15" s="99">
        <v>1.0162</v>
      </c>
      <c r="J15" s="99">
        <v>1</v>
      </c>
      <c r="K15" s="99">
        <v>0.99939999999999996</v>
      </c>
      <c r="L15" s="99">
        <v>0.99939999999999996</v>
      </c>
      <c r="M15" s="99">
        <v>0.99780000000000002</v>
      </c>
      <c r="N15" s="99">
        <v>0.99780000000000002</v>
      </c>
      <c r="O15" s="99">
        <f>+Factores!F15</f>
        <v>0.98909999999999998</v>
      </c>
    </row>
    <row r="16" spans="1:15" ht="18">
      <c r="A16" s="138" t="s">
        <v>14</v>
      </c>
      <c r="B16" s="309">
        <v>1.0162</v>
      </c>
      <c r="C16" s="309">
        <v>1.0162</v>
      </c>
      <c r="D16" s="328">
        <v>1.0162</v>
      </c>
      <c r="E16" s="99">
        <v>1.0162</v>
      </c>
      <c r="F16" s="99">
        <v>1.0162</v>
      </c>
      <c r="G16" s="99">
        <v>1.0162</v>
      </c>
      <c r="H16" s="99">
        <v>1.0162</v>
      </c>
      <c r="I16" s="99">
        <v>1.0162</v>
      </c>
      <c r="J16" s="99">
        <v>1</v>
      </c>
      <c r="K16" s="99">
        <v>0.99939999999999996</v>
      </c>
      <c r="L16" s="99">
        <v>0.99939999999999996</v>
      </c>
      <c r="M16" s="99">
        <v>0.99780000000000002</v>
      </c>
      <c r="N16" s="99">
        <v>0.99780000000000002</v>
      </c>
      <c r="O16" s="99">
        <f>+Factores!F16</f>
        <v>0.98909999999999998</v>
      </c>
    </row>
    <row r="17" spans="1:15" ht="18">
      <c r="A17" s="138" t="s">
        <v>39</v>
      </c>
      <c r="B17" s="309">
        <v>1.0162</v>
      </c>
      <c r="C17" s="309">
        <v>1.0162</v>
      </c>
      <c r="D17" s="328">
        <v>1.0162</v>
      </c>
      <c r="E17" s="99">
        <v>1.0162</v>
      </c>
      <c r="F17" s="99">
        <v>1.0162</v>
      </c>
      <c r="G17" s="99">
        <v>1.0162</v>
      </c>
      <c r="H17" s="99">
        <v>1.0162</v>
      </c>
      <c r="I17" s="99">
        <v>1.0162</v>
      </c>
      <c r="J17" s="99">
        <v>1</v>
      </c>
      <c r="K17" s="99">
        <v>1.0004999999999999</v>
      </c>
      <c r="L17" s="99">
        <v>1.0004999999999999</v>
      </c>
      <c r="M17" s="99">
        <v>0.99790000000000001</v>
      </c>
      <c r="N17" s="99">
        <v>0.99790000000000001</v>
      </c>
      <c r="O17" s="99">
        <f>+Factores!F17</f>
        <v>0.9909</v>
      </c>
    </row>
    <row r="18" spans="1:15" ht="18">
      <c r="A18" s="138" t="s">
        <v>40</v>
      </c>
      <c r="B18" s="309">
        <v>1.0168999999999999</v>
      </c>
      <c r="C18" s="309">
        <v>1.0168999999999999</v>
      </c>
      <c r="D18" s="328">
        <v>1.0168999999999999</v>
      </c>
      <c r="E18" s="99">
        <v>1.0168999999999999</v>
      </c>
      <c r="F18" s="99">
        <v>1.0168999999999999</v>
      </c>
      <c r="G18" s="99">
        <v>1.0168999999999999</v>
      </c>
      <c r="H18" s="99">
        <v>1.0168999999999999</v>
      </c>
      <c r="I18" s="99">
        <v>1.0168999999999999</v>
      </c>
      <c r="J18" s="99">
        <v>1</v>
      </c>
      <c r="K18" s="99">
        <v>1.0003</v>
      </c>
      <c r="L18" s="99">
        <v>1.0003</v>
      </c>
      <c r="M18" s="99">
        <v>0.99790000000000001</v>
      </c>
      <c r="N18" s="99">
        <v>0.99790000000000001</v>
      </c>
      <c r="O18" s="99">
        <f>+Factores!F18</f>
        <v>0.99050000000000005</v>
      </c>
    </row>
    <row r="19" spans="1:15" ht="18">
      <c r="A19" s="138" t="s">
        <v>13</v>
      </c>
      <c r="B19" s="309">
        <v>1.0685</v>
      </c>
      <c r="C19" s="309">
        <v>1.0685</v>
      </c>
      <c r="D19" s="328">
        <v>1.0685</v>
      </c>
      <c r="E19" s="99">
        <v>1.0685</v>
      </c>
      <c r="F19" s="99">
        <v>1.0685</v>
      </c>
      <c r="G19" s="99">
        <v>1.0685</v>
      </c>
      <c r="H19" s="99">
        <v>1.0685</v>
      </c>
      <c r="I19" s="99">
        <v>1.0685</v>
      </c>
      <c r="J19" s="99">
        <v>1</v>
      </c>
      <c r="K19" s="99">
        <v>1.0081</v>
      </c>
      <c r="L19" s="99">
        <v>1.0081</v>
      </c>
      <c r="M19" s="99">
        <v>0.999</v>
      </c>
      <c r="N19" s="99">
        <v>0.999</v>
      </c>
      <c r="O19" s="99">
        <f>+Factores!F19</f>
        <v>1.0033000000000001</v>
      </c>
    </row>
    <row r="20" spans="1:15" ht="18">
      <c r="A20" s="616" t="s">
        <v>544</v>
      </c>
      <c r="B20" s="309" t="s">
        <v>290</v>
      </c>
      <c r="C20" s="309" t="s">
        <v>290</v>
      </c>
      <c r="D20" s="328" t="s">
        <v>290</v>
      </c>
      <c r="E20" s="99" t="s">
        <v>290</v>
      </c>
      <c r="F20" s="99" t="s">
        <v>290</v>
      </c>
      <c r="G20" s="99" t="s">
        <v>290</v>
      </c>
      <c r="H20" s="99">
        <v>1.0235000000000001</v>
      </c>
      <c r="I20" s="99">
        <v>1.0235000000000001</v>
      </c>
      <c r="J20" s="99">
        <v>1</v>
      </c>
      <c r="K20" s="99">
        <v>1</v>
      </c>
      <c r="L20" s="99">
        <v>1</v>
      </c>
      <c r="M20" s="99">
        <v>1</v>
      </c>
      <c r="N20" s="99">
        <v>1</v>
      </c>
      <c r="O20" s="99">
        <f>+Factores!F20</f>
        <v>1</v>
      </c>
    </row>
    <row r="21" spans="1:15" ht="18">
      <c r="A21" s="635" t="s">
        <v>543</v>
      </c>
      <c r="B21" s="309" t="s">
        <v>290</v>
      </c>
      <c r="C21" s="309" t="s">
        <v>290</v>
      </c>
      <c r="D21" s="328" t="s">
        <v>290</v>
      </c>
      <c r="E21" s="99" t="s">
        <v>290</v>
      </c>
      <c r="F21" s="99" t="s">
        <v>290</v>
      </c>
      <c r="G21" s="99" t="s">
        <v>290</v>
      </c>
      <c r="H21" s="99" t="s">
        <v>290</v>
      </c>
      <c r="I21" s="99">
        <v>1.18</v>
      </c>
      <c r="J21" s="99">
        <v>1.18</v>
      </c>
      <c r="K21" s="99">
        <v>1.18</v>
      </c>
      <c r="L21" s="99">
        <v>1.18</v>
      </c>
      <c r="M21" s="99">
        <v>1.18</v>
      </c>
      <c r="N21" s="99">
        <v>1.18</v>
      </c>
      <c r="O21" s="99">
        <f>+Factores!F21</f>
        <v>1.18</v>
      </c>
    </row>
    <row r="22" spans="1:15" ht="18">
      <c r="A22" s="133" t="s">
        <v>540</v>
      </c>
      <c r="B22" s="311" t="s">
        <v>290</v>
      </c>
      <c r="C22" s="311" t="s">
        <v>290</v>
      </c>
      <c r="D22" s="330" t="s">
        <v>290</v>
      </c>
      <c r="E22" s="103" t="s">
        <v>290</v>
      </c>
      <c r="F22" s="103" t="s">
        <v>290</v>
      </c>
      <c r="G22" s="103" t="s">
        <v>290</v>
      </c>
      <c r="H22" s="103" t="s">
        <v>290</v>
      </c>
      <c r="I22" s="103" t="s">
        <v>290</v>
      </c>
      <c r="J22" s="103" t="s">
        <v>290</v>
      </c>
      <c r="K22" s="103" t="s">
        <v>290</v>
      </c>
      <c r="L22" s="103" t="s">
        <v>290</v>
      </c>
      <c r="M22" s="103" t="s">
        <v>290</v>
      </c>
      <c r="N22" s="103" t="s">
        <v>290</v>
      </c>
      <c r="O22" s="103" t="str">
        <f>+Factores!F22</f>
        <v/>
      </c>
    </row>
    <row r="23" spans="1:15" ht="18">
      <c r="A23" s="137" t="s">
        <v>27</v>
      </c>
      <c r="B23" s="309">
        <v>1.0057</v>
      </c>
      <c r="C23" s="309">
        <v>1.0057</v>
      </c>
      <c r="D23" s="328">
        <v>1.0057</v>
      </c>
      <c r="E23" s="90">
        <v>1.0057</v>
      </c>
      <c r="F23" s="90">
        <v>1.0057</v>
      </c>
      <c r="G23" s="90">
        <v>1.0057</v>
      </c>
      <c r="H23" s="90">
        <v>0.95469999999999999</v>
      </c>
      <c r="I23" s="90">
        <v>0.95469999999999999</v>
      </c>
      <c r="J23" s="90">
        <v>1</v>
      </c>
      <c r="K23" s="90">
        <v>0.9899</v>
      </c>
      <c r="L23" s="90">
        <v>0.9899</v>
      </c>
      <c r="M23" s="90">
        <v>0.9899</v>
      </c>
      <c r="N23" s="90">
        <v>0.9899</v>
      </c>
      <c r="O23" s="90">
        <f>+Factores!F23</f>
        <v>0.9899</v>
      </c>
    </row>
    <row r="24" spans="1:15" ht="18">
      <c r="A24" s="138" t="s">
        <v>28</v>
      </c>
      <c r="B24" s="309">
        <v>1.036</v>
      </c>
      <c r="C24" s="309">
        <v>1.036</v>
      </c>
      <c r="D24" s="328">
        <v>1.036</v>
      </c>
      <c r="E24" s="90">
        <v>1.036</v>
      </c>
      <c r="F24" s="90">
        <v>1.036</v>
      </c>
      <c r="G24" s="90">
        <v>1.036</v>
      </c>
      <c r="H24" s="90">
        <v>1.0347999999999999</v>
      </c>
      <c r="I24" s="90">
        <v>1.0347999999999999</v>
      </c>
      <c r="J24" s="90">
        <v>1</v>
      </c>
      <c r="K24" s="90">
        <v>1.1040000000000001</v>
      </c>
      <c r="L24" s="90">
        <v>1.1040000000000001</v>
      </c>
      <c r="M24" s="90">
        <v>1.1040000000000001</v>
      </c>
      <c r="N24" s="90">
        <v>1.1040000000000001</v>
      </c>
      <c r="O24" s="90">
        <f>+Factores!F24</f>
        <v>1.1040000000000001</v>
      </c>
    </row>
    <row r="25" spans="1:15" ht="18">
      <c r="A25" s="138" t="s">
        <v>29</v>
      </c>
      <c r="B25" s="309">
        <v>1.0092000000000001</v>
      </c>
      <c r="C25" s="309">
        <v>1.0092000000000001</v>
      </c>
      <c r="D25" s="328">
        <v>1.0092000000000001</v>
      </c>
      <c r="E25" s="90">
        <v>1.0092000000000001</v>
      </c>
      <c r="F25" s="90">
        <v>1.0092000000000001</v>
      </c>
      <c r="G25" s="90">
        <v>1.0092000000000001</v>
      </c>
      <c r="H25" s="90">
        <v>0.99429999999999996</v>
      </c>
      <c r="I25" s="90">
        <v>0.99429999999999996</v>
      </c>
      <c r="J25" s="90">
        <v>1</v>
      </c>
      <c r="K25" s="90">
        <v>0.99650000000000005</v>
      </c>
      <c r="L25" s="90">
        <v>0.99650000000000005</v>
      </c>
      <c r="M25" s="90">
        <v>0.99650000000000005</v>
      </c>
      <c r="N25" s="90">
        <v>0.99650000000000005</v>
      </c>
      <c r="O25" s="90">
        <f>+Factores!F25</f>
        <v>0.99650000000000005</v>
      </c>
    </row>
    <row r="26" spans="1:15" ht="18">
      <c r="A26" s="138" t="s">
        <v>30</v>
      </c>
      <c r="B26" s="309">
        <v>1.0091000000000001</v>
      </c>
      <c r="C26" s="309">
        <v>1.0091000000000001</v>
      </c>
      <c r="D26" s="328">
        <v>1.0091000000000001</v>
      </c>
      <c r="E26" s="90">
        <v>1.0091000000000001</v>
      </c>
      <c r="F26" s="90">
        <v>1.0091000000000001</v>
      </c>
      <c r="G26" s="90">
        <v>1.0091000000000001</v>
      </c>
      <c r="H26" s="90">
        <v>0.996</v>
      </c>
      <c r="I26" s="90">
        <v>0.996</v>
      </c>
      <c r="J26" s="90">
        <v>1</v>
      </c>
      <c r="K26" s="90">
        <v>0.99560000000000004</v>
      </c>
      <c r="L26" s="90">
        <v>0.99560000000000004</v>
      </c>
      <c r="M26" s="90">
        <v>0.99560000000000004</v>
      </c>
      <c r="N26" s="90">
        <v>0.99560000000000004</v>
      </c>
      <c r="O26" s="90">
        <f>+Factores!F26</f>
        <v>0.99560000000000004</v>
      </c>
    </row>
    <row r="27" spans="1:15" ht="18">
      <c r="A27" s="138" t="s">
        <v>122</v>
      </c>
      <c r="B27" s="309">
        <v>1.0057</v>
      </c>
      <c r="C27" s="309">
        <v>1.0057</v>
      </c>
      <c r="D27" s="328">
        <v>1.0057</v>
      </c>
      <c r="E27" s="90">
        <v>1.0057</v>
      </c>
      <c r="F27" s="90">
        <v>1.0057</v>
      </c>
      <c r="G27" s="90">
        <v>1.0057</v>
      </c>
      <c r="H27" s="90">
        <v>0.95469999999999999</v>
      </c>
      <c r="I27" s="90">
        <v>0.95469999999999999</v>
      </c>
      <c r="J27" s="90">
        <v>1</v>
      </c>
      <c r="K27" s="90">
        <v>0.9899</v>
      </c>
      <c r="L27" s="90">
        <v>0.9899</v>
      </c>
      <c r="M27" s="90">
        <v>0.9899</v>
      </c>
      <c r="N27" s="90">
        <v>0.9899</v>
      </c>
      <c r="O27" s="90">
        <f>+Factores!F27</f>
        <v>0.9899</v>
      </c>
    </row>
    <row r="28" spans="1:15" ht="18">
      <c r="A28" s="138" t="s">
        <v>123</v>
      </c>
      <c r="B28" s="309">
        <v>1.0057</v>
      </c>
      <c r="C28" s="309">
        <v>1.0057</v>
      </c>
      <c r="D28" s="328">
        <v>1.0057</v>
      </c>
      <c r="E28" s="90">
        <v>1.0057</v>
      </c>
      <c r="F28" s="90">
        <v>1.0057</v>
      </c>
      <c r="G28" s="90">
        <v>1.0057</v>
      </c>
      <c r="H28" s="90">
        <v>0.95469999999999999</v>
      </c>
      <c r="I28" s="90">
        <v>0.95469999999999999</v>
      </c>
      <c r="J28" s="90">
        <v>1</v>
      </c>
      <c r="K28" s="90">
        <v>0.9899</v>
      </c>
      <c r="L28" s="90">
        <v>0.9899</v>
      </c>
      <c r="M28" s="90">
        <v>0.9899</v>
      </c>
      <c r="N28" s="90">
        <v>0.9899</v>
      </c>
      <c r="O28" s="90">
        <f>+Factores!F28</f>
        <v>0.9899</v>
      </c>
    </row>
    <row r="29" spans="1:15" ht="18">
      <c r="A29" s="137" t="s">
        <v>124</v>
      </c>
      <c r="B29" s="309">
        <v>1.0057</v>
      </c>
      <c r="C29" s="309">
        <v>1.0057</v>
      </c>
      <c r="D29" s="328">
        <v>1.0057</v>
      </c>
      <c r="E29" s="90">
        <v>1.0057</v>
      </c>
      <c r="F29" s="90">
        <v>1.0057</v>
      </c>
      <c r="G29" s="90">
        <v>1.0057</v>
      </c>
      <c r="H29" s="90">
        <v>0.95469999999999999</v>
      </c>
      <c r="I29" s="90">
        <v>0.95469999999999999</v>
      </c>
      <c r="J29" s="90">
        <v>1</v>
      </c>
      <c r="K29" s="90">
        <v>0.9899</v>
      </c>
      <c r="L29" s="90">
        <v>0.9899</v>
      </c>
      <c r="M29" s="90">
        <v>0.9899</v>
      </c>
      <c r="N29" s="90">
        <v>0.9899</v>
      </c>
      <c r="O29" s="90">
        <f>+Factores!F29</f>
        <v>0.9899</v>
      </c>
    </row>
    <row r="30" spans="1:15" ht="18">
      <c r="A30" s="137" t="s">
        <v>375</v>
      </c>
      <c r="B30" s="309">
        <v>1.0057</v>
      </c>
      <c r="C30" s="309">
        <v>1.0057</v>
      </c>
      <c r="D30" s="328">
        <v>1.0057</v>
      </c>
      <c r="E30" s="90">
        <v>1.0057</v>
      </c>
      <c r="F30" s="90">
        <v>1.0057</v>
      </c>
      <c r="G30" s="90">
        <v>1.0057</v>
      </c>
      <c r="H30" s="90">
        <v>0.95469999999999999</v>
      </c>
      <c r="I30" s="90">
        <v>0.95469999999999999</v>
      </c>
      <c r="J30" s="90">
        <v>1</v>
      </c>
      <c r="K30" s="90">
        <v>0.9899</v>
      </c>
      <c r="L30" s="90">
        <v>0.9899</v>
      </c>
      <c r="M30" s="90">
        <v>0.9899</v>
      </c>
      <c r="N30" s="90">
        <v>0.9899</v>
      </c>
      <c r="O30" s="90">
        <f>+Factores!F30</f>
        <v>0.9899</v>
      </c>
    </row>
    <row r="31" spans="1:15" ht="18">
      <c r="A31" s="133" t="s">
        <v>158</v>
      </c>
      <c r="B31" s="311" t="s">
        <v>290</v>
      </c>
      <c r="C31" s="311" t="s">
        <v>290</v>
      </c>
      <c r="D31" s="330" t="s">
        <v>290</v>
      </c>
      <c r="E31" s="103" t="s">
        <v>290</v>
      </c>
      <c r="F31" s="103" t="s">
        <v>290</v>
      </c>
      <c r="G31" s="103" t="s">
        <v>290</v>
      </c>
      <c r="H31" s="103" t="s">
        <v>290</v>
      </c>
      <c r="I31" s="103" t="s">
        <v>290</v>
      </c>
      <c r="J31" s="103" t="s">
        <v>290</v>
      </c>
      <c r="K31" s="103" t="s">
        <v>290</v>
      </c>
      <c r="L31" s="103" t="s">
        <v>290</v>
      </c>
      <c r="M31" s="103" t="s">
        <v>290</v>
      </c>
      <c r="N31" s="103" t="s">
        <v>290</v>
      </c>
      <c r="O31" s="103" t="str">
        <f>+Factores!F31</f>
        <v/>
      </c>
    </row>
    <row r="32" spans="1:15" ht="18">
      <c r="A32" s="141" t="s">
        <v>165</v>
      </c>
      <c r="B32" s="310">
        <v>1.0277000000000001</v>
      </c>
      <c r="C32" s="310">
        <v>1.0277000000000001</v>
      </c>
      <c r="D32" s="329">
        <v>1.0277000000000001</v>
      </c>
      <c r="E32" s="90">
        <v>1.0277000000000001</v>
      </c>
      <c r="F32" s="90">
        <v>1.0277000000000001</v>
      </c>
      <c r="G32" s="90">
        <v>1.0277000000000001</v>
      </c>
      <c r="H32" s="90">
        <v>1.0387999999999999</v>
      </c>
      <c r="I32" s="90">
        <v>1.0387999999999999</v>
      </c>
      <c r="J32" s="90">
        <v>1.0369999999999999</v>
      </c>
      <c r="K32" s="90">
        <v>1.0378000000000001</v>
      </c>
      <c r="L32" s="90">
        <v>1.0378000000000001</v>
      </c>
      <c r="M32" s="90">
        <v>1.0378000000000001</v>
      </c>
      <c r="N32" s="90">
        <v>1.0378000000000001</v>
      </c>
      <c r="O32" s="90">
        <f>+Factores!F32</f>
        <v>1.0378000000000001</v>
      </c>
    </row>
    <row r="33" spans="1:15" ht="18">
      <c r="A33" s="141" t="s">
        <v>166</v>
      </c>
      <c r="B33" s="310">
        <v>1.0355000000000001</v>
      </c>
      <c r="C33" s="310">
        <v>1.0355000000000001</v>
      </c>
      <c r="D33" s="329">
        <v>1.0355000000000001</v>
      </c>
      <c r="E33" s="90">
        <v>1.0355000000000001</v>
      </c>
      <c r="F33" s="90">
        <v>1.0355000000000001</v>
      </c>
      <c r="G33" s="90">
        <v>1.0355000000000001</v>
      </c>
      <c r="H33" s="90">
        <v>1.0479000000000001</v>
      </c>
      <c r="I33" s="90">
        <v>1.0479000000000001</v>
      </c>
      <c r="J33" s="90">
        <v>1.048</v>
      </c>
      <c r="K33" s="90">
        <v>1.0489999999999999</v>
      </c>
      <c r="L33" s="90">
        <v>1.0489999999999999</v>
      </c>
      <c r="M33" s="90">
        <v>1.0489999999999999</v>
      </c>
      <c r="N33" s="90">
        <v>1.0489999999999999</v>
      </c>
      <c r="O33" s="90">
        <f>+Factores!F33</f>
        <v>1.0489999999999999</v>
      </c>
    </row>
    <row r="34" spans="1:15" ht="18">
      <c r="A34" s="141" t="s">
        <v>167</v>
      </c>
      <c r="B34" s="310">
        <v>1.0269999999999999</v>
      </c>
      <c r="C34" s="310">
        <v>1.0269999999999999</v>
      </c>
      <c r="D34" s="329">
        <v>1.0269999999999999</v>
      </c>
      <c r="E34" s="90">
        <v>1.0269999999999999</v>
      </c>
      <c r="F34" s="90">
        <v>1.0269999999999999</v>
      </c>
      <c r="G34" s="90">
        <v>1.0269999999999999</v>
      </c>
      <c r="H34" s="90">
        <v>1.0373000000000001</v>
      </c>
      <c r="I34" s="90">
        <v>1.0373000000000001</v>
      </c>
      <c r="J34" s="90">
        <v>1.0364</v>
      </c>
      <c r="K34" s="90">
        <v>1.0371999999999999</v>
      </c>
      <c r="L34" s="90">
        <v>1.0371999999999999</v>
      </c>
      <c r="M34" s="90">
        <v>1.0371999999999999</v>
      </c>
      <c r="N34" s="90">
        <v>1.0371999999999999</v>
      </c>
      <c r="O34" s="90">
        <f>+Factores!F34</f>
        <v>1.0371999999999999</v>
      </c>
    </row>
    <row r="35" spans="1:15" ht="18">
      <c r="A35" s="141" t="s">
        <v>168</v>
      </c>
      <c r="B35" s="310">
        <v>1.0225</v>
      </c>
      <c r="C35" s="310">
        <v>1.0225</v>
      </c>
      <c r="D35" s="329">
        <v>1.0225</v>
      </c>
      <c r="E35" s="90">
        <v>1.0225</v>
      </c>
      <c r="F35" s="90">
        <v>1.0225</v>
      </c>
      <c r="G35" s="90">
        <v>1.0225</v>
      </c>
      <c r="H35" s="90">
        <v>1.0323</v>
      </c>
      <c r="I35" s="90">
        <v>1.0323</v>
      </c>
      <c r="J35" s="90">
        <v>1.0318000000000001</v>
      </c>
      <c r="K35" s="90">
        <v>1.0327</v>
      </c>
      <c r="L35" s="90">
        <v>1.0327</v>
      </c>
      <c r="M35" s="90">
        <v>1.0327</v>
      </c>
      <c r="N35" s="90">
        <v>1.0327</v>
      </c>
      <c r="O35" s="90">
        <f>+Factores!F35</f>
        <v>1.0327</v>
      </c>
    </row>
    <row r="36" spans="1:15" ht="40.5" customHeight="1">
      <c r="A36" s="141" t="s">
        <v>169</v>
      </c>
      <c r="B36" s="310">
        <v>1.0150999999999999</v>
      </c>
      <c r="C36" s="310">
        <v>1.0150999999999999</v>
      </c>
      <c r="D36" s="329">
        <v>1.0150999999999999</v>
      </c>
      <c r="E36" s="90">
        <v>1.0150999999999999</v>
      </c>
      <c r="F36" s="90">
        <v>1.0150999999999999</v>
      </c>
      <c r="G36" s="90">
        <v>1.0150999999999999</v>
      </c>
      <c r="H36" s="90">
        <v>1.0202</v>
      </c>
      <c r="I36" s="90">
        <v>1.0202</v>
      </c>
      <c r="J36" s="90">
        <v>1.0187999999999999</v>
      </c>
      <c r="K36" s="90">
        <v>1.0196000000000001</v>
      </c>
      <c r="L36" s="90">
        <v>1.0196000000000001</v>
      </c>
      <c r="M36" s="90">
        <v>1.0196000000000001</v>
      </c>
      <c r="N36" s="90">
        <v>1.0196000000000001</v>
      </c>
      <c r="O36" s="90">
        <f>+Factores!F36</f>
        <v>1.0196000000000001</v>
      </c>
    </row>
    <row r="37" spans="1:15" ht="68.25" customHeight="1">
      <c r="A37" s="141" t="s">
        <v>170</v>
      </c>
      <c r="B37" s="310">
        <v>1.0078</v>
      </c>
      <c r="C37" s="310">
        <v>1.0078</v>
      </c>
      <c r="D37" s="329">
        <v>1.0078</v>
      </c>
      <c r="E37" s="90">
        <v>1.0078</v>
      </c>
      <c r="F37" s="90">
        <v>1.0078</v>
      </c>
      <c r="G37" s="90">
        <v>1.0078</v>
      </c>
      <c r="H37" s="90">
        <v>1.0074000000000001</v>
      </c>
      <c r="I37" s="90">
        <v>1.0074000000000001</v>
      </c>
      <c r="J37" s="90">
        <v>1.0038</v>
      </c>
      <c r="K37" s="90">
        <v>1.0044</v>
      </c>
      <c r="L37" s="90">
        <v>1.0044</v>
      </c>
      <c r="M37" s="90">
        <v>1.0044</v>
      </c>
      <c r="N37" s="90">
        <v>1.0044</v>
      </c>
      <c r="O37" s="90">
        <f>+Factores!F37</f>
        <v>1.0044</v>
      </c>
    </row>
    <row r="38" spans="1:15" ht="18">
      <c r="A38" s="141" t="s">
        <v>171</v>
      </c>
      <c r="B38" s="310">
        <v>1.0087999999999999</v>
      </c>
      <c r="C38" s="310">
        <v>1.0087999999999999</v>
      </c>
      <c r="D38" s="329">
        <v>1.0087999999999999</v>
      </c>
      <c r="E38" s="90">
        <v>1.0087999999999999</v>
      </c>
      <c r="F38" s="90">
        <v>1.0087999999999999</v>
      </c>
      <c r="G38" s="90">
        <v>1.0087999999999999</v>
      </c>
      <c r="H38" s="90">
        <v>1.0087999999999999</v>
      </c>
      <c r="I38" s="90">
        <v>1.0087999999999999</v>
      </c>
      <c r="J38" s="90">
        <v>1.0055000000000001</v>
      </c>
      <c r="K38" s="90">
        <v>1.0062</v>
      </c>
      <c r="L38" s="90">
        <v>1.0062</v>
      </c>
      <c r="M38" s="90">
        <v>1.0062</v>
      </c>
      <c r="N38" s="90">
        <v>1.0062</v>
      </c>
      <c r="O38" s="90">
        <f>+Factores!F38</f>
        <v>1.0062</v>
      </c>
    </row>
    <row r="39" spans="1:15" ht="18">
      <c r="A39" s="141" t="s">
        <v>172</v>
      </c>
      <c r="B39" s="310">
        <v>1.0244</v>
      </c>
      <c r="C39" s="310">
        <v>1.0244</v>
      </c>
      <c r="D39" s="329">
        <v>1.0244</v>
      </c>
      <c r="E39" s="90">
        <v>1.0244</v>
      </c>
      <c r="F39" s="90">
        <v>1.0244</v>
      </c>
      <c r="G39" s="90">
        <v>1.0244</v>
      </c>
      <c r="H39" s="90">
        <v>1.0346</v>
      </c>
      <c r="I39" s="90">
        <v>1.0346</v>
      </c>
      <c r="J39" s="90">
        <v>1.0327</v>
      </c>
      <c r="K39" s="90">
        <v>1.0335000000000001</v>
      </c>
      <c r="L39" s="90">
        <v>1.0335000000000001</v>
      </c>
      <c r="M39" s="90">
        <v>1.0335000000000001</v>
      </c>
      <c r="N39" s="90">
        <v>1.0335000000000001</v>
      </c>
      <c r="O39" s="90">
        <f>+Factores!F39</f>
        <v>1.0335000000000001</v>
      </c>
    </row>
    <row r="40" spans="1:15" ht="18">
      <c r="A40" s="141" t="s">
        <v>173</v>
      </c>
      <c r="B40" s="310">
        <v>1.0212000000000001</v>
      </c>
      <c r="C40" s="310">
        <v>1.0212000000000001</v>
      </c>
      <c r="D40" s="329">
        <v>1.0212000000000001</v>
      </c>
      <c r="E40" s="90">
        <v>1.0212000000000001</v>
      </c>
      <c r="F40" s="90">
        <v>1.0212000000000001</v>
      </c>
      <c r="G40" s="90">
        <v>1.0212000000000001</v>
      </c>
      <c r="H40" s="90">
        <v>1.0284</v>
      </c>
      <c r="I40" s="90">
        <v>1.0284</v>
      </c>
      <c r="J40" s="90">
        <v>1.0266999999999999</v>
      </c>
      <c r="K40" s="90">
        <v>1.0275000000000001</v>
      </c>
      <c r="L40" s="90">
        <v>1.0275000000000001</v>
      </c>
      <c r="M40" s="90">
        <v>1.0275000000000001</v>
      </c>
      <c r="N40" s="90">
        <v>1.0275000000000001</v>
      </c>
      <c r="O40" s="90">
        <f>+Factores!F40</f>
        <v>1.0275000000000001</v>
      </c>
    </row>
    <row r="41" spans="1:15" ht="18">
      <c r="A41" s="141" t="s">
        <v>174</v>
      </c>
      <c r="B41" s="310">
        <v>1.0203</v>
      </c>
      <c r="C41" s="310">
        <v>1.0203</v>
      </c>
      <c r="D41" s="329">
        <v>1.0203</v>
      </c>
      <c r="E41" s="90">
        <v>1.0203</v>
      </c>
      <c r="F41" s="90">
        <v>1.0203</v>
      </c>
      <c r="G41" s="90">
        <v>1.0203</v>
      </c>
      <c r="H41" s="90">
        <v>1.0290999999999999</v>
      </c>
      <c r="I41" s="90">
        <v>1.0290999999999999</v>
      </c>
      <c r="J41" s="90">
        <v>1.0281</v>
      </c>
      <c r="K41" s="90">
        <v>1.0288999999999999</v>
      </c>
      <c r="L41" s="90">
        <v>1.0288999999999999</v>
      </c>
      <c r="M41" s="90">
        <v>1.0288999999999999</v>
      </c>
      <c r="N41" s="90">
        <v>1.0288999999999999</v>
      </c>
      <c r="O41" s="90">
        <f>+Factores!F41</f>
        <v>1.0288999999999999</v>
      </c>
    </row>
    <row r="42" spans="1:15" ht="18">
      <c r="A42" s="141" t="s">
        <v>175</v>
      </c>
      <c r="B42" s="310">
        <v>1.0313000000000001</v>
      </c>
      <c r="C42" s="310">
        <v>1.0313000000000001</v>
      </c>
      <c r="D42" s="329">
        <v>1.0313000000000001</v>
      </c>
      <c r="E42" s="90">
        <v>1.0313000000000001</v>
      </c>
      <c r="F42" s="90">
        <v>1.0313000000000001</v>
      </c>
      <c r="G42" s="90">
        <v>1.0313000000000001</v>
      </c>
      <c r="H42" s="90">
        <v>1.0424</v>
      </c>
      <c r="I42" s="90">
        <v>1.0424</v>
      </c>
      <c r="J42" s="90">
        <v>1.0424</v>
      </c>
      <c r="K42" s="90">
        <v>1.0432999999999999</v>
      </c>
      <c r="L42" s="90">
        <v>1.0432999999999999</v>
      </c>
      <c r="M42" s="90">
        <v>1.0432999999999999</v>
      </c>
      <c r="N42" s="90">
        <v>1.0432999999999999</v>
      </c>
      <c r="O42" s="90">
        <f>+Factores!F42</f>
        <v>1.0432999999999999</v>
      </c>
    </row>
    <row r="43" spans="1:15" ht="42" customHeight="1">
      <c r="A43" s="141" t="s">
        <v>176</v>
      </c>
      <c r="B43" s="310">
        <v>0.98850000000000005</v>
      </c>
      <c r="C43" s="310">
        <v>0.98850000000000005</v>
      </c>
      <c r="D43" s="329">
        <v>0.98850000000000005</v>
      </c>
      <c r="E43" s="90">
        <v>0.98850000000000005</v>
      </c>
      <c r="F43" s="90">
        <v>0.98850000000000005</v>
      </c>
      <c r="G43" s="90">
        <v>0.98850000000000005</v>
      </c>
      <c r="H43" s="90">
        <v>0.98080000000000001</v>
      </c>
      <c r="I43" s="90">
        <v>0.98080000000000001</v>
      </c>
      <c r="J43" s="90">
        <v>0.97430000000000005</v>
      </c>
      <c r="K43" s="90">
        <v>0.9748</v>
      </c>
      <c r="L43" s="90">
        <v>0.9748</v>
      </c>
      <c r="M43" s="90">
        <v>0.9748</v>
      </c>
      <c r="N43" s="90">
        <v>0.9748</v>
      </c>
      <c r="O43" s="90">
        <f>+Factores!F43</f>
        <v>0.9748</v>
      </c>
    </row>
    <row r="44" spans="1:15" ht="77.25" customHeight="1">
      <c r="A44" s="141" t="s">
        <v>177</v>
      </c>
      <c r="B44" s="310">
        <v>1.0266999999999999</v>
      </c>
      <c r="C44" s="310">
        <v>1.0266999999999999</v>
      </c>
      <c r="D44" s="329">
        <v>1.0266999999999999</v>
      </c>
      <c r="E44" s="90">
        <v>1.0266999999999999</v>
      </c>
      <c r="F44" s="90">
        <v>1.0266999999999999</v>
      </c>
      <c r="G44" s="90">
        <v>1.0266999999999999</v>
      </c>
      <c r="H44" s="90">
        <v>1.0367999999999999</v>
      </c>
      <c r="I44" s="90">
        <v>1.0367999999999999</v>
      </c>
      <c r="J44" s="90">
        <v>1.0362</v>
      </c>
      <c r="K44" s="90">
        <v>1.0370999999999999</v>
      </c>
      <c r="L44" s="90">
        <v>1.0370999999999999</v>
      </c>
      <c r="M44" s="90">
        <v>1.0370999999999999</v>
      </c>
      <c r="N44" s="90">
        <v>1.0370999999999999</v>
      </c>
      <c r="O44" s="90">
        <f>+Factores!F44</f>
        <v>1.0370999999999999</v>
      </c>
    </row>
    <row r="45" spans="1:15" ht="18">
      <c r="A45" s="141" t="s">
        <v>178</v>
      </c>
      <c r="B45" s="310">
        <v>1.0455000000000001</v>
      </c>
      <c r="C45" s="310">
        <v>1.0455000000000001</v>
      </c>
      <c r="D45" s="329">
        <v>1.0455000000000001</v>
      </c>
      <c r="E45" s="90">
        <v>1.0455000000000001</v>
      </c>
      <c r="F45" s="90">
        <v>1.0455000000000001</v>
      </c>
      <c r="G45" s="90">
        <v>1.0455000000000001</v>
      </c>
      <c r="H45" s="90">
        <v>1.0607</v>
      </c>
      <c r="I45" s="90">
        <v>1.0607</v>
      </c>
      <c r="J45" s="90">
        <v>1.0608</v>
      </c>
      <c r="K45" s="90">
        <v>1.0617000000000001</v>
      </c>
      <c r="L45" s="90">
        <v>1.0617000000000001</v>
      </c>
      <c r="M45" s="90">
        <v>1.0617000000000001</v>
      </c>
      <c r="N45" s="90">
        <v>1.0617000000000001</v>
      </c>
      <c r="O45" s="90">
        <f>+Factores!F45</f>
        <v>1.0617000000000001</v>
      </c>
    </row>
    <row r="46" spans="1:15" ht="18">
      <c r="A46" s="141" t="s">
        <v>179</v>
      </c>
      <c r="B46" s="310">
        <v>1.0025999999999999</v>
      </c>
      <c r="C46" s="310">
        <v>1.0025999999999999</v>
      </c>
      <c r="D46" s="329">
        <v>1.0025999999999999</v>
      </c>
      <c r="E46" s="90">
        <v>1.0025999999999999</v>
      </c>
      <c r="F46" s="90">
        <v>1.0025999999999999</v>
      </c>
      <c r="G46" s="90">
        <v>1.0025999999999999</v>
      </c>
      <c r="H46" s="90">
        <v>1.0094000000000001</v>
      </c>
      <c r="I46" s="90">
        <v>1.0094000000000001</v>
      </c>
      <c r="J46" s="90">
        <v>1.0059</v>
      </c>
      <c r="K46" s="90">
        <v>1.0065999999999999</v>
      </c>
      <c r="L46" s="90">
        <v>1.0065999999999999</v>
      </c>
      <c r="M46" s="90">
        <v>1.0065999999999999</v>
      </c>
      <c r="N46" s="90">
        <v>1.0065999999999999</v>
      </c>
      <c r="O46" s="90">
        <f>+Factores!F46</f>
        <v>1.0065999999999999</v>
      </c>
    </row>
    <row r="47" spans="1:15" ht="18">
      <c r="A47" s="141" t="s">
        <v>159</v>
      </c>
      <c r="B47" s="310">
        <v>0.89239999999999997</v>
      </c>
      <c r="C47" s="310">
        <v>0.89239999999999997</v>
      </c>
      <c r="D47" s="329">
        <v>0.89239999999999997</v>
      </c>
      <c r="E47" s="90">
        <v>0.89239999999999997</v>
      </c>
      <c r="F47" s="90">
        <v>0.89239999999999997</v>
      </c>
      <c r="G47" s="90">
        <v>0.89239999999999997</v>
      </c>
      <c r="H47" s="90">
        <v>0.84719999999999995</v>
      </c>
      <c r="I47" s="90">
        <v>0.84719999999999995</v>
      </c>
      <c r="J47" s="90">
        <v>0.83550000000000002</v>
      </c>
      <c r="K47" s="90">
        <v>0.83550000000000002</v>
      </c>
      <c r="L47" s="90">
        <v>0.83550000000000002</v>
      </c>
      <c r="M47" s="90">
        <v>0.83550000000000002</v>
      </c>
      <c r="N47" s="90">
        <v>0.83550000000000002</v>
      </c>
      <c r="O47" s="90">
        <f>+Factores!F47</f>
        <v>0.83550000000000002</v>
      </c>
    </row>
    <row r="48" spans="1:15" ht="18">
      <c r="A48" s="141" t="s">
        <v>160</v>
      </c>
      <c r="B48" s="310">
        <v>0.89239999999999997</v>
      </c>
      <c r="C48" s="310">
        <v>0.89239999999999997</v>
      </c>
      <c r="D48" s="329">
        <v>0.89239999999999997</v>
      </c>
      <c r="E48" s="90">
        <v>0.89239999999999997</v>
      </c>
      <c r="F48" s="90">
        <v>0.89239999999999997</v>
      </c>
      <c r="G48" s="90">
        <v>0.89239999999999997</v>
      </c>
      <c r="H48" s="90">
        <v>0.84719999999999995</v>
      </c>
      <c r="I48" s="90">
        <v>0.84719999999999995</v>
      </c>
      <c r="J48" s="90">
        <v>0.83550000000000002</v>
      </c>
      <c r="K48" s="90">
        <v>0.83550000000000002</v>
      </c>
      <c r="L48" s="90">
        <v>0.83550000000000002</v>
      </c>
      <c r="M48" s="90">
        <v>0.83550000000000002</v>
      </c>
      <c r="N48" s="90">
        <v>0.83550000000000002</v>
      </c>
      <c r="O48" s="90">
        <f>+Factores!F48</f>
        <v>0.83550000000000002</v>
      </c>
    </row>
    <row r="49" spans="1:15" ht="18">
      <c r="A49" s="141" t="s">
        <v>150</v>
      </c>
      <c r="B49" s="310">
        <v>0.96240000000000003</v>
      </c>
      <c r="C49" s="310">
        <v>0.96240000000000003</v>
      </c>
      <c r="D49" s="329">
        <v>0.96240000000000003</v>
      </c>
      <c r="E49" s="90">
        <v>0.96240000000000003</v>
      </c>
      <c r="F49" s="90">
        <v>0.96240000000000003</v>
      </c>
      <c r="G49" s="90">
        <v>0.96240000000000003</v>
      </c>
      <c r="H49" s="90">
        <v>0.94569999999999999</v>
      </c>
      <c r="I49" s="90">
        <v>0.94569999999999999</v>
      </c>
      <c r="J49" s="90">
        <v>0.9415</v>
      </c>
      <c r="K49" s="90">
        <v>0.94199999999999995</v>
      </c>
      <c r="L49" s="90">
        <v>0.94199999999999995</v>
      </c>
      <c r="M49" s="90">
        <v>0.94199999999999995</v>
      </c>
      <c r="N49" s="90">
        <v>0.94199999999999995</v>
      </c>
      <c r="O49" s="90">
        <f>+Factores!F49</f>
        <v>0.94199999999999995</v>
      </c>
    </row>
    <row r="50" spans="1:15" ht="18">
      <c r="A50" s="141" t="s">
        <v>151</v>
      </c>
      <c r="B50" s="310">
        <v>1.0328999999999999</v>
      </c>
      <c r="C50" s="310">
        <v>1.0328999999999999</v>
      </c>
      <c r="D50" s="329">
        <v>1.0328999999999999</v>
      </c>
      <c r="E50" s="90">
        <v>1.0328999999999999</v>
      </c>
      <c r="F50" s="90">
        <v>1.0328999999999999</v>
      </c>
      <c r="G50" s="90">
        <v>1.0328999999999999</v>
      </c>
      <c r="H50" s="90">
        <v>1.038</v>
      </c>
      <c r="I50" s="90">
        <v>1.038</v>
      </c>
      <c r="J50" s="90">
        <v>1.032</v>
      </c>
      <c r="K50" s="90">
        <v>1.0326</v>
      </c>
      <c r="L50" s="90">
        <v>1.0326</v>
      </c>
      <c r="M50" s="90">
        <v>1.0326</v>
      </c>
      <c r="N50" s="90">
        <v>1.0326</v>
      </c>
      <c r="O50" s="90">
        <f>+Factores!F50</f>
        <v>1.0326</v>
      </c>
    </row>
    <row r="51" spans="1:15" ht="18">
      <c r="A51" s="282" t="s">
        <v>541</v>
      </c>
      <c r="B51" s="312">
        <v>1.0244</v>
      </c>
      <c r="C51" s="312">
        <v>1.0244</v>
      </c>
      <c r="D51" s="331">
        <v>1.0244</v>
      </c>
      <c r="E51" s="91">
        <v>1.0244</v>
      </c>
      <c r="F51" s="91">
        <v>1.0244</v>
      </c>
      <c r="G51" s="91">
        <v>1.0244</v>
      </c>
      <c r="H51" s="91">
        <v>1.0346</v>
      </c>
      <c r="I51" s="91">
        <v>1.0346</v>
      </c>
      <c r="J51" s="91">
        <v>0.83550000000000002</v>
      </c>
      <c r="K51" s="91">
        <v>0.83550000000000002</v>
      </c>
      <c r="L51" s="91">
        <v>0.83550000000000002</v>
      </c>
      <c r="M51" s="91">
        <v>0.83550000000000002</v>
      </c>
      <c r="N51" s="91">
        <v>0.83550000000000002</v>
      </c>
      <c r="O51" s="91">
        <f>+Factores!F51</f>
        <v>0.83550000000000002</v>
      </c>
    </row>
    <row r="52" spans="1:15" ht="18">
      <c r="A52" s="134" t="s">
        <v>157</v>
      </c>
      <c r="B52" s="92" t="s">
        <v>290</v>
      </c>
      <c r="C52" s="92" t="s">
        <v>290</v>
      </c>
      <c r="D52" s="332" t="s">
        <v>290</v>
      </c>
      <c r="E52" s="89" t="s">
        <v>290</v>
      </c>
      <c r="F52" s="89" t="s">
        <v>290</v>
      </c>
      <c r="G52" s="89" t="s">
        <v>290</v>
      </c>
      <c r="H52" s="89" t="s">
        <v>290</v>
      </c>
      <c r="I52" s="89" t="s">
        <v>290</v>
      </c>
      <c r="J52" s="89" t="s">
        <v>290</v>
      </c>
      <c r="K52" s="89" t="s">
        <v>290</v>
      </c>
      <c r="L52" s="89" t="s">
        <v>290</v>
      </c>
      <c r="M52" s="89" t="s">
        <v>290</v>
      </c>
      <c r="N52" s="89" t="s">
        <v>290</v>
      </c>
      <c r="O52" s="89" t="str">
        <f>+Factores!F52</f>
        <v/>
      </c>
    </row>
    <row r="53" spans="1:15" ht="18">
      <c r="A53" s="134" t="s">
        <v>42</v>
      </c>
      <c r="B53" s="92" t="s">
        <v>290</v>
      </c>
      <c r="C53" s="92" t="s">
        <v>290</v>
      </c>
      <c r="D53" s="332" t="s">
        <v>290</v>
      </c>
      <c r="E53" s="89" t="s">
        <v>290</v>
      </c>
      <c r="F53" s="89" t="s">
        <v>290</v>
      </c>
      <c r="G53" s="89" t="s">
        <v>290</v>
      </c>
      <c r="H53" s="89" t="s">
        <v>290</v>
      </c>
      <c r="I53" s="89" t="s">
        <v>290</v>
      </c>
      <c r="J53" s="89" t="s">
        <v>290</v>
      </c>
      <c r="K53" s="89" t="s">
        <v>290</v>
      </c>
      <c r="L53" s="89" t="s">
        <v>290</v>
      </c>
      <c r="M53" s="89" t="s">
        <v>290</v>
      </c>
      <c r="N53" s="89" t="s">
        <v>290</v>
      </c>
      <c r="O53" s="89" t="str">
        <f>+Factores!F53</f>
        <v/>
      </c>
    </row>
    <row r="54" spans="1:15" ht="18">
      <c r="A54" s="130" t="s">
        <v>43</v>
      </c>
      <c r="B54" s="93">
        <v>0.99680000000000002</v>
      </c>
      <c r="C54" s="93">
        <v>0.99680000000000002</v>
      </c>
      <c r="D54" s="333">
        <v>0.99680000000000002</v>
      </c>
      <c r="E54" s="93">
        <v>0.99680000000000002</v>
      </c>
      <c r="F54" s="93">
        <v>0.99680000000000002</v>
      </c>
      <c r="G54" s="93">
        <v>0.99680000000000002</v>
      </c>
      <c r="H54" s="93">
        <v>0.99829999999999997</v>
      </c>
      <c r="I54" s="93">
        <v>0.99829999999999997</v>
      </c>
      <c r="J54" s="333">
        <v>0.99739999999999995</v>
      </c>
      <c r="K54" s="333">
        <v>0.99829999999999997</v>
      </c>
      <c r="L54" s="333">
        <v>0.99829999999999997</v>
      </c>
      <c r="M54" s="333">
        <v>0.99229999999999996</v>
      </c>
      <c r="N54" s="333">
        <v>0.99229999999999996</v>
      </c>
      <c r="O54" s="333">
        <f>+Factores!F54</f>
        <v>0.97750000000000004</v>
      </c>
    </row>
    <row r="55" spans="1:15" ht="18">
      <c r="A55" s="130" t="s">
        <v>44</v>
      </c>
      <c r="B55" s="93">
        <v>1.0152000000000001</v>
      </c>
      <c r="C55" s="93">
        <v>1.0152000000000001</v>
      </c>
      <c r="D55" s="333">
        <v>1.0152000000000001</v>
      </c>
      <c r="E55" s="93">
        <v>1.0152000000000001</v>
      </c>
      <c r="F55" s="93">
        <v>1.0152000000000001</v>
      </c>
      <c r="G55" s="93">
        <v>1.0152000000000001</v>
      </c>
      <c r="H55" s="93">
        <v>1.0196000000000001</v>
      </c>
      <c r="I55" s="93">
        <v>1.0196000000000001</v>
      </c>
      <c r="J55" s="333">
        <v>1.0210999999999999</v>
      </c>
      <c r="K55" s="333">
        <v>1.0222</v>
      </c>
      <c r="L55" s="333">
        <v>1.0222</v>
      </c>
      <c r="M55" s="333">
        <v>1.0165999999999999</v>
      </c>
      <c r="N55" s="333">
        <v>1.0165999999999999</v>
      </c>
      <c r="O55" s="333">
        <f>+Factores!F55</f>
        <v>1.0044999999999999</v>
      </c>
    </row>
    <row r="56" spans="1:15" ht="18">
      <c r="A56" s="130" t="s">
        <v>45</v>
      </c>
      <c r="B56" s="93">
        <v>1.0307999999999999</v>
      </c>
      <c r="C56" s="93">
        <v>1.0307999999999999</v>
      </c>
      <c r="D56" s="333">
        <v>1.0307999999999999</v>
      </c>
      <c r="E56" s="93">
        <v>1.0307999999999999</v>
      </c>
      <c r="F56" s="93">
        <v>1.0307999999999999</v>
      </c>
      <c r="G56" s="93">
        <v>1.0307999999999999</v>
      </c>
      <c r="H56" s="93">
        <v>1.0284</v>
      </c>
      <c r="I56" s="93">
        <v>1.0284</v>
      </c>
      <c r="J56" s="333">
        <v>1.0247999999999999</v>
      </c>
      <c r="K56" s="333">
        <v>1.0258</v>
      </c>
      <c r="L56" s="333">
        <v>1.0258</v>
      </c>
      <c r="M56" s="333">
        <v>1.0205</v>
      </c>
      <c r="N56" s="333">
        <v>1.0205</v>
      </c>
      <c r="O56" s="333">
        <f>+Factores!F56</f>
        <v>1.0032000000000001</v>
      </c>
    </row>
    <row r="57" spans="1:15" ht="18">
      <c r="A57" s="130" t="s">
        <v>46</v>
      </c>
      <c r="B57" s="93">
        <v>1.0111000000000001</v>
      </c>
      <c r="C57" s="93">
        <v>1.0111000000000001</v>
      </c>
      <c r="D57" s="333">
        <v>1.0111000000000001</v>
      </c>
      <c r="E57" s="93">
        <v>1.0111000000000001</v>
      </c>
      <c r="F57" s="93">
        <v>1.0111000000000001</v>
      </c>
      <c r="G57" s="93">
        <v>1.0111000000000001</v>
      </c>
      <c r="H57" s="93">
        <v>1.0152000000000001</v>
      </c>
      <c r="I57" s="93">
        <v>1.0152000000000001</v>
      </c>
      <c r="J57" s="333">
        <v>1.0166999999999999</v>
      </c>
      <c r="K57" s="333">
        <v>1.0177</v>
      </c>
      <c r="L57" s="333">
        <v>1.0177</v>
      </c>
      <c r="M57" s="333">
        <v>1.0127999999999999</v>
      </c>
      <c r="N57" s="333">
        <v>1.0127999999999999</v>
      </c>
      <c r="O57" s="333">
        <f>+Factores!F57</f>
        <v>1.0008999999999999</v>
      </c>
    </row>
    <row r="58" spans="1:15" ht="18">
      <c r="A58" s="130" t="s">
        <v>47</v>
      </c>
      <c r="B58" s="93">
        <v>1.0154000000000001</v>
      </c>
      <c r="C58" s="93">
        <v>1.0154000000000001</v>
      </c>
      <c r="D58" s="333">
        <v>1.0154000000000001</v>
      </c>
      <c r="E58" s="93">
        <v>1.0154000000000001</v>
      </c>
      <c r="F58" s="93">
        <v>1.0154000000000001</v>
      </c>
      <c r="G58" s="93">
        <v>1.0154000000000001</v>
      </c>
      <c r="H58" s="93">
        <v>1.0201</v>
      </c>
      <c r="I58" s="93">
        <v>1.0201</v>
      </c>
      <c r="J58" s="333">
        <v>1.022</v>
      </c>
      <c r="K58" s="333">
        <v>1.0229999999999999</v>
      </c>
      <c r="L58" s="333">
        <v>1.0229999999999999</v>
      </c>
      <c r="M58" s="333">
        <v>1.0177</v>
      </c>
      <c r="N58" s="333">
        <v>1.0177</v>
      </c>
      <c r="O58" s="333">
        <f>+Factores!F58</f>
        <v>1.006</v>
      </c>
    </row>
    <row r="59" spans="1:15" ht="18">
      <c r="A59" s="130" t="s">
        <v>48</v>
      </c>
      <c r="B59" s="93">
        <v>1.0198</v>
      </c>
      <c r="C59" s="93">
        <v>1.0198</v>
      </c>
      <c r="D59" s="333">
        <v>1.0198</v>
      </c>
      <c r="E59" s="93">
        <v>1.0198</v>
      </c>
      <c r="F59" s="93">
        <v>1.0198</v>
      </c>
      <c r="G59" s="93">
        <v>1.0198</v>
      </c>
      <c r="H59" s="93">
        <v>1.0251999999999999</v>
      </c>
      <c r="I59" s="93">
        <v>1.0251999999999999</v>
      </c>
      <c r="J59" s="333">
        <v>1.0278</v>
      </c>
      <c r="K59" s="333">
        <v>1.0288999999999999</v>
      </c>
      <c r="L59" s="333">
        <v>1.0288999999999999</v>
      </c>
      <c r="M59" s="333">
        <v>1.0239</v>
      </c>
      <c r="N59" s="333">
        <v>1.0239</v>
      </c>
      <c r="O59" s="333">
        <f>+Factores!F59</f>
        <v>1.0132000000000001</v>
      </c>
    </row>
    <row r="60" spans="1:15" ht="18">
      <c r="A60" s="130" t="s">
        <v>200</v>
      </c>
      <c r="B60" s="93">
        <v>1.0051000000000001</v>
      </c>
      <c r="C60" s="93">
        <v>1.0051000000000001</v>
      </c>
      <c r="D60" s="333">
        <v>1.0051000000000001</v>
      </c>
      <c r="E60" s="93">
        <v>1.0051000000000001</v>
      </c>
      <c r="F60" s="93">
        <v>1.0051000000000001</v>
      </c>
      <c r="G60" s="93">
        <v>1.0051000000000001</v>
      </c>
      <c r="H60" s="93">
        <v>1.0085999999999999</v>
      </c>
      <c r="I60" s="93">
        <v>1.0085999999999999</v>
      </c>
      <c r="J60" s="333">
        <v>1.0094000000000001</v>
      </c>
      <c r="K60" s="333">
        <v>1.0104</v>
      </c>
      <c r="L60" s="333">
        <v>1.0104</v>
      </c>
      <c r="M60" s="333">
        <v>1.0045999999999999</v>
      </c>
      <c r="N60" s="333">
        <v>1.0045999999999999</v>
      </c>
      <c r="O60" s="333">
        <f>+Factores!F60</f>
        <v>0.99150000000000005</v>
      </c>
    </row>
    <row r="61" spans="1:15" ht="18">
      <c r="A61" s="130" t="s">
        <v>201</v>
      </c>
      <c r="B61" s="93">
        <v>1.0057</v>
      </c>
      <c r="C61" s="93">
        <v>1.0057</v>
      </c>
      <c r="D61" s="333">
        <v>1.0057</v>
      </c>
      <c r="E61" s="93">
        <v>1.0057</v>
      </c>
      <c r="F61" s="93">
        <v>1.0057</v>
      </c>
      <c r="G61" s="93">
        <v>1.0057</v>
      </c>
      <c r="H61" s="93">
        <v>1.0094000000000001</v>
      </c>
      <c r="I61" s="93">
        <v>1.0094000000000001</v>
      </c>
      <c r="J61" s="333">
        <v>1.0102</v>
      </c>
      <c r="K61" s="333">
        <v>1.0113000000000001</v>
      </c>
      <c r="L61" s="333">
        <v>1.0113000000000001</v>
      </c>
      <c r="M61" s="333">
        <v>1.0054000000000001</v>
      </c>
      <c r="N61" s="333">
        <v>1.0054000000000001</v>
      </c>
      <c r="O61" s="333">
        <f>+Factores!F61</f>
        <v>0.99250000000000005</v>
      </c>
    </row>
    <row r="62" spans="1:15" ht="18">
      <c r="A62" s="130" t="s">
        <v>202</v>
      </c>
      <c r="B62" s="93">
        <v>1.0051000000000001</v>
      </c>
      <c r="C62" s="93">
        <v>1.0051000000000001</v>
      </c>
      <c r="D62" s="333">
        <v>1.0051000000000001</v>
      </c>
      <c r="E62" s="93">
        <v>1.0051000000000001</v>
      </c>
      <c r="F62" s="93">
        <v>1.0051000000000001</v>
      </c>
      <c r="G62" s="93">
        <v>1.0051000000000001</v>
      </c>
      <c r="H62" s="93">
        <v>1.0085999999999999</v>
      </c>
      <c r="I62" s="93">
        <v>1.0085999999999999</v>
      </c>
      <c r="J62" s="333">
        <v>1.0094000000000001</v>
      </c>
      <c r="K62" s="333">
        <v>1.0104</v>
      </c>
      <c r="L62" s="333">
        <v>1.0104</v>
      </c>
      <c r="M62" s="333">
        <v>1.0045999999999999</v>
      </c>
      <c r="N62" s="333">
        <v>1.0045999999999999</v>
      </c>
      <c r="O62" s="333">
        <f>+Factores!F62</f>
        <v>0.99150000000000005</v>
      </c>
    </row>
    <row r="63" spans="1:15" ht="18">
      <c r="A63" s="130" t="s">
        <v>203</v>
      </c>
      <c r="B63" s="93">
        <v>1.0057</v>
      </c>
      <c r="C63" s="93">
        <v>1.0057</v>
      </c>
      <c r="D63" s="333">
        <v>1.0057</v>
      </c>
      <c r="E63" s="93">
        <v>1.0057</v>
      </c>
      <c r="F63" s="93">
        <v>1.0057</v>
      </c>
      <c r="G63" s="93">
        <v>1.0057</v>
      </c>
      <c r="H63" s="93">
        <v>1.0094000000000001</v>
      </c>
      <c r="I63" s="93">
        <v>1.0094000000000001</v>
      </c>
      <c r="J63" s="333">
        <v>1.0102</v>
      </c>
      <c r="K63" s="333">
        <v>1.0113000000000001</v>
      </c>
      <c r="L63" s="333">
        <v>1.0113000000000001</v>
      </c>
      <c r="M63" s="333">
        <v>1.0054000000000001</v>
      </c>
      <c r="N63" s="333">
        <v>1.0054000000000001</v>
      </c>
      <c r="O63" s="333">
        <f>+Factores!F63</f>
        <v>0.99250000000000005</v>
      </c>
    </row>
    <row r="64" spans="1:15" ht="18">
      <c r="A64" s="134" t="s">
        <v>49</v>
      </c>
      <c r="B64" s="92" t="s">
        <v>290</v>
      </c>
      <c r="C64" s="92" t="s">
        <v>290</v>
      </c>
      <c r="D64" s="332" t="s">
        <v>290</v>
      </c>
      <c r="E64" s="93" t="s">
        <v>290</v>
      </c>
      <c r="F64" s="93" t="s">
        <v>290</v>
      </c>
      <c r="G64" s="93" t="s">
        <v>290</v>
      </c>
      <c r="H64" s="93" t="s">
        <v>290</v>
      </c>
      <c r="I64" s="93" t="s">
        <v>290</v>
      </c>
      <c r="J64" s="333" t="s">
        <v>290</v>
      </c>
      <c r="K64" s="333" t="s">
        <v>290</v>
      </c>
      <c r="L64" s="333" t="s">
        <v>290</v>
      </c>
      <c r="M64" s="333" t="s">
        <v>290</v>
      </c>
      <c r="N64" s="333" t="s">
        <v>290</v>
      </c>
      <c r="O64" s="333" t="str">
        <f>+Factores!F64</f>
        <v/>
      </c>
    </row>
    <row r="65" spans="1:15" ht="18">
      <c r="A65" s="130" t="s">
        <v>43</v>
      </c>
      <c r="B65" s="93">
        <v>0.99880000000000002</v>
      </c>
      <c r="C65" s="93">
        <v>0.99880000000000002</v>
      </c>
      <c r="D65" s="333">
        <v>0.99880000000000002</v>
      </c>
      <c r="E65" s="93">
        <v>0.99880000000000002</v>
      </c>
      <c r="F65" s="93">
        <v>0.99880000000000002</v>
      </c>
      <c r="G65" s="93">
        <v>0.99880000000000002</v>
      </c>
      <c r="H65" s="93">
        <v>1.0014000000000001</v>
      </c>
      <c r="I65" s="93">
        <v>1.0014000000000001</v>
      </c>
      <c r="J65" s="333">
        <v>1.0016</v>
      </c>
      <c r="K65" s="333">
        <v>1.0025999999999999</v>
      </c>
      <c r="L65" s="333">
        <v>1.0025999999999999</v>
      </c>
      <c r="M65" s="333">
        <v>0.99729999999999996</v>
      </c>
      <c r="N65" s="333">
        <v>0.99729999999999996</v>
      </c>
      <c r="O65" s="333">
        <f>+Factores!F65</f>
        <v>0.9839</v>
      </c>
    </row>
    <row r="66" spans="1:15" ht="18">
      <c r="A66" s="130" t="s">
        <v>44</v>
      </c>
      <c r="B66" s="93">
        <v>1.0076000000000001</v>
      </c>
      <c r="C66" s="93">
        <v>1.0076000000000001</v>
      </c>
      <c r="D66" s="333">
        <v>1.0076000000000001</v>
      </c>
      <c r="E66" s="93">
        <v>1.0076000000000001</v>
      </c>
      <c r="F66" s="93">
        <v>1.0076000000000001</v>
      </c>
      <c r="G66" s="93">
        <v>1.0076000000000001</v>
      </c>
      <c r="H66" s="93">
        <v>1.0113000000000001</v>
      </c>
      <c r="I66" s="93">
        <v>1.0113000000000001</v>
      </c>
      <c r="J66" s="333">
        <v>1.0125</v>
      </c>
      <c r="K66" s="333">
        <v>1.0135000000000001</v>
      </c>
      <c r="L66" s="333">
        <v>1.0135000000000001</v>
      </c>
      <c r="M66" s="333">
        <v>1.0088999999999999</v>
      </c>
      <c r="N66" s="333">
        <v>1.0088999999999999</v>
      </c>
      <c r="O66" s="333">
        <f>+Factores!F66</f>
        <v>0.997</v>
      </c>
    </row>
    <row r="67" spans="1:15" ht="18">
      <c r="A67" s="130" t="s">
        <v>45</v>
      </c>
      <c r="B67" s="93">
        <v>1.0007999999999999</v>
      </c>
      <c r="C67" s="93">
        <v>1.0007999999999999</v>
      </c>
      <c r="D67" s="333">
        <v>1.0007999999999999</v>
      </c>
      <c r="E67" s="93">
        <v>1.0007999999999999</v>
      </c>
      <c r="F67" s="93">
        <v>1.0007999999999999</v>
      </c>
      <c r="G67" s="93">
        <v>1.0007999999999999</v>
      </c>
      <c r="H67" s="93">
        <v>1.0033000000000001</v>
      </c>
      <c r="I67" s="93">
        <v>1.0033000000000001</v>
      </c>
      <c r="J67" s="333">
        <v>1.0035000000000001</v>
      </c>
      <c r="K67" s="333">
        <v>1.0044</v>
      </c>
      <c r="L67" s="333">
        <v>1.0044</v>
      </c>
      <c r="M67" s="333">
        <v>0.99929999999999997</v>
      </c>
      <c r="N67" s="333">
        <v>0.99929999999999997</v>
      </c>
      <c r="O67" s="333">
        <f>+Factores!F67</f>
        <v>0.9859</v>
      </c>
    </row>
    <row r="68" spans="1:15" ht="18">
      <c r="A68" s="130" t="s">
        <v>46</v>
      </c>
      <c r="B68" s="93">
        <v>0.99550000000000005</v>
      </c>
      <c r="C68" s="93">
        <v>0.99550000000000005</v>
      </c>
      <c r="D68" s="333">
        <v>0.99550000000000005</v>
      </c>
      <c r="E68" s="93">
        <v>0.99550000000000005</v>
      </c>
      <c r="F68" s="93">
        <v>0.99550000000000005</v>
      </c>
      <c r="G68" s="93">
        <v>0.99550000000000005</v>
      </c>
      <c r="H68" s="93">
        <v>0.99780000000000002</v>
      </c>
      <c r="I68" s="93">
        <v>0.99780000000000002</v>
      </c>
      <c r="J68" s="333">
        <v>0.99790000000000001</v>
      </c>
      <c r="K68" s="333">
        <v>0.99890000000000001</v>
      </c>
      <c r="L68" s="333">
        <v>0.99890000000000001</v>
      </c>
      <c r="M68" s="333">
        <v>0.99439999999999995</v>
      </c>
      <c r="N68" s="333">
        <v>0.99439999999999995</v>
      </c>
      <c r="O68" s="333">
        <f>+Factores!F68</f>
        <v>0.98140000000000005</v>
      </c>
    </row>
    <row r="69" spans="1:15" ht="18">
      <c r="A69" s="130" t="s">
        <v>47</v>
      </c>
      <c r="B69" s="93">
        <v>0.99390000000000001</v>
      </c>
      <c r="C69" s="93">
        <v>0.99390000000000001</v>
      </c>
      <c r="D69" s="333">
        <v>0.99390000000000001</v>
      </c>
      <c r="E69" s="93">
        <v>0.99390000000000001</v>
      </c>
      <c r="F69" s="93">
        <v>0.99390000000000001</v>
      </c>
      <c r="G69" s="93">
        <v>0.99390000000000001</v>
      </c>
      <c r="H69" s="93">
        <v>0.99570000000000003</v>
      </c>
      <c r="I69" s="93">
        <v>0.99570000000000003</v>
      </c>
      <c r="J69" s="333">
        <v>0.99539999999999995</v>
      </c>
      <c r="K69" s="333">
        <v>0.99629999999999996</v>
      </c>
      <c r="L69" s="333">
        <v>0.99629999999999996</v>
      </c>
      <c r="M69" s="333">
        <v>0.99170000000000003</v>
      </c>
      <c r="N69" s="333">
        <v>0.99170000000000003</v>
      </c>
      <c r="O69" s="333">
        <f>+Factores!F69</f>
        <v>0.97799999999999998</v>
      </c>
    </row>
    <row r="70" spans="1:15" ht="18">
      <c r="A70" s="130" t="s">
        <v>48</v>
      </c>
      <c r="B70" s="93">
        <v>1.0039</v>
      </c>
      <c r="C70" s="93">
        <v>1.0039</v>
      </c>
      <c r="D70" s="333">
        <v>1.0039</v>
      </c>
      <c r="E70" s="93">
        <v>1.0039</v>
      </c>
      <c r="F70" s="93">
        <v>1.0039</v>
      </c>
      <c r="G70" s="93">
        <v>1.0039</v>
      </c>
      <c r="H70" s="93">
        <v>1.0039</v>
      </c>
      <c r="I70" s="93">
        <v>1.0039</v>
      </c>
      <c r="J70" s="333">
        <v>1.0026999999999999</v>
      </c>
      <c r="K70" s="333">
        <v>1.0035000000000001</v>
      </c>
      <c r="L70" s="333">
        <v>1.0035000000000001</v>
      </c>
      <c r="M70" s="333">
        <v>1.0009999999999999</v>
      </c>
      <c r="N70" s="333">
        <v>1.0009999999999999</v>
      </c>
      <c r="O70" s="333">
        <f>+Factores!F70</f>
        <v>0.98729999999999996</v>
      </c>
    </row>
    <row r="71" spans="1:15" ht="18">
      <c r="A71" s="130" t="s">
        <v>200</v>
      </c>
      <c r="B71" s="93">
        <v>0.99139999999999995</v>
      </c>
      <c r="C71" s="93">
        <v>0.99139999999999995</v>
      </c>
      <c r="D71" s="333">
        <v>0.99139999999999995</v>
      </c>
      <c r="E71" s="93">
        <v>0.99139999999999995</v>
      </c>
      <c r="F71" s="93">
        <v>0.99139999999999995</v>
      </c>
      <c r="G71" s="93">
        <v>0.99139999999999995</v>
      </c>
      <c r="H71" s="93">
        <v>0.99239999999999995</v>
      </c>
      <c r="I71" s="93">
        <v>0.99239999999999995</v>
      </c>
      <c r="J71" s="333">
        <v>0.99199999999999999</v>
      </c>
      <c r="K71" s="333">
        <v>0.9929</v>
      </c>
      <c r="L71" s="333">
        <v>0.9929</v>
      </c>
      <c r="M71" s="333">
        <v>0.9909</v>
      </c>
      <c r="N71" s="333">
        <v>0.9909</v>
      </c>
      <c r="O71" s="333">
        <f>+Factores!F71</f>
        <v>0.97829999999999995</v>
      </c>
    </row>
    <row r="72" spans="1:15" ht="18">
      <c r="A72" s="130" t="s">
        <v>201</v>
      </c>
      <c r="B72" s="93">
        <v>1.0016</v>
      </c>
      <c r="C72" s="93">
        <v>1.0016</v>
      </c>
      <c r="D72" s="333">
        <v>1.0016</v>
      </c>
      <c r="E72" s="93">
        <v>1.0016</v>
      </c>
      <c r="F72" s="93">
        <v>1.0016</v>
      </c>
      <c r="G72" s="93">
        <v>1.0016</v>
      </c>
      <c r="H72" s="93">
        <v>1.0038</v>
      </c>
      <c r="I72" s="93">
        <v>1.0038</v>
      </c>
      <c r="J72" s="333">
        <v>1.0041</v>
      </c>
      <c r="K72" s="333">
        <v>1.0051000000000001</v>
      </c>
      <c r="L72" s="333">
        <v>1.0051000000000001</v>
      </c>
      <c r="M72" s="333">
        <v>1.0019</v>
      </c>
      <c r="N72" s="333">
        <v>1.0019</v>
      </c>
      <c r="O72" s="333">
        <f>+Factores!F72</f>
        <v>0.98970000000000002</v>
      </c>
    </row>
    <row r="73" spans="1:15" ht="18">
      <c r="A73" s="130" t="s">
        <v>202</v>
      </c>
      <c r="B73" s="93">
        <v>0.99139999999999995</v>
      </c>
      <c r="C73" s="93">
        <v>0.99139999999999995</v>
      </c>
      <c r="D73" s="333">
        <v>0.99139999999999995</v>
      </c>
      <c r="E73" s="93">
        <v>0.99139999999999995</v>
      </c>
      <c r="F73" s="93">
        <v>0.99139999999999995</v>
      </c>
      <c r="G73" s="93">
        <v>0.99139999999999995</v>
      </c>
      <c r="H73" s="93">
        <v>0.99239999999999995</v>
      </c>
      <c r="I73" s="93">
        <v>0.99239999999999995</v>
      </c>
      <c r="J73" s="333">
        <v>0.99199999999999999</v>
      </c>
      <c r="K73" s="333">
        <v>0.9929</v>
      </c>
      <c r="L73" s="333">
        <v>0.9929</v>
      </c>
      <c r="M73" s="333">
        <v>0.9909</v>
      </c>
      <c r="N73" s="333">
        <v>0.9909</v>
      </c>
      <c r="O73" s="333">
        <f>+Factores!F73</f>
        <v>0.97829999999999995</v>
      </c>
    </row>
    <row r="74" spans="1:15" ht="18">
      <c r="A74" s="130" t="s">
        <v>203</v>
      </c>
      <c r="B74" s="93">
        <v>1.0016</v>
      </c>
      <c r="C74" s="93">
        <v>1.0016</v>
      </c>
      <c r="D74" s="333">
        <v>1.0016</v>
      </c>
      <c r="E74" s="93">
        <v>1.0016</v>
      </c>
      <c r="F74" s="93">
        <v>1.0016</v>
      </c>
      <c r="G74" s="93">
        <v>1.0016</v>
      </c>
      <c r="H74" s="93">
        <v>1.0038</v>
      </c>
      <c r="I74" s="93">
        <v>1.0038</v>
      </c>
      <c r="J74" s="333">
        <v>1.0041</v>
      </c>
      <c r="K74" s="333">
        <v>1.0051000000000001</v>
      </c>
      <c r="L74" s="333">
        <v>1.0051000000000001</v>
      </c>
      <c r="M74" s="333">
        <v>1.0019</v>
      </c>
      <c r="N74" s="333">
        <v>1.0019</v>
      </c>
      <c r="O74" s="333">
        <f>+Factores!F74</f>
        <v>0.98970000000000002</v>
      </c>
    </row>
    <row r="75" spans="1:15" ht="18">
      <c r="A75" s="134" t="s">
        <v>180</v>
      </c>
      <c r="B75" s="92" t="s">
        <v>290</v>
      </c>
      <c r="C75" s="92" t="s">
        <v>290</v>
      </c>
      <c r="D75" s="332" t="s">
        <v>290</v>
      </c>
      <c r="E75" s="93" t="s">
        <v>290</v>
      </c>
      <c r="F75" s="93" t="s">
        <v>290</v>
      </c>
      <c r="G75" s="93" t="s">
        <v>290</v>
      </c>
      <c r="H75" s="93" t="s">
        <v>290</v>
      </c>
      <c r="I75" s="93" t="s">
        <v>290</v>
      </c>
      <c r="J75" s="333" t="s">
        <v>290</v>
      </c>
      <c r="K75" s="333" t="s">
        <v>290</v>
      </c>
      <c r="L75" s="333" t="s">
        <v>290</v>
      </c>
      <c r="M75" s="333" t="s">
        <v>290</v>
      </c>
      <c r="N75" s="333" t="s">
        <v>290</v>
      </c>
      <c r="O75" s="333" t="str">
        <f>+Factores!F75</f>
        <v/>
      </c>
    </row>
    <row r="76" spans="1:15" ht="18">
      <c r="A76" s="130" t="s">
        <v>43</v>
      </c>
      <c r="B76" s="93">
        <v>1.0087999999999999</v>
      </c>
      <c r="C76" s="93">
        <v>1.0087999999999999</v>
      </c>
      <c r="D76" s="333">
        <v>1.0087999999999999</v>
      </c>
      <c r="E76" s="93">
        <v>1.0087999999999999</v>
      </c>
      <c r="F76" s="93">
        <v>1.0087999999999999</v>
      </c>
      <c r="G76" s="93">
        <v>1.0087999999999999</v>
      </c>
      <c r="H76" s="93">
        <v>1.0103</v>
      </c>
      <c r="I76" s="93">
        <v>1.0103</v>
      </c>
      <c r="J76" s="333">
        <v>1.0103</v>
      </c>
      <c r="K76" s="333">
        <v>1.0112000000000001</v>
      </c>
      <c r="L76" s="333">
        <v>1.0112000000000001</v>
      </c>
      <c r="M76" s="333">
        <v>1.0089999999999999</v>
      </c>
      <c r="N76" s="333">
        <v>1.0089999999999999</v>
      </c>
      <c r="O76" s="333">
        <f>+Factores!F76</f>
        <v>0.99680000000000002</v>
      </c>
    </row>
    <row r="77" spans="1:15" ht="18">
      <c r="A77" s="130" t="s">
        <v>44</v>
      </c>
      <c r="B77" s="93">
        <v>0.99839999999999995</v>
      </c>
      <c r="C77" s="93">
        <v>0.99839999999999995</v>
      </c>
      <c r="D77" s="333">
        <v>0.99839999999999995</v>
      </c>
      <c r="E77" s="93">
        <v>0.99839999999999995</v>
      </c>
      <c r="F77" s="93">
        <v>0.99839999999999995</v>
      </c>
      <c r="G77" s="93">
        <v>0.99839999999999995</v>
      </c>
      <c r="H77" s="93">
        <v>0.997</v>
      </c>
      <c r="I77" s="93">
        <v>0.997</v>
      </c>
      <c r="J77" s="333">
        <v>0.99480000000000002</v>
      </c>
      <c r="K77" s="333">
        <v>0.99570000000000003</v>
      </c>
      <c r="L77" s="333">
        <v>0.99570000000000003</v>
      </c>
      <c r="M77" s="333">
        <v>0.99409999999999998</v>
      </c>
      <c r="N77" s="333">
        <v>0.99409999999999998</v>
      </c>
      <c r="O77" s="333">
        <f>+Factores!F77</f>
        <v>0.97989999999999999</v>
      </c>
    </row>
    <row r="78" spans="1:15" ht="18">
      <c r="A78" s="130" t="s">
        <v>45</v>
      </c>
      <c r="B78" s="93">
        <v>1.0012000000000001</v>
      </c>
      <c r="C78" s="93">
        <v>1.0012000000000001</v>
      </c>
      <c r="D78" s="333">
        <v>1.0012000000000001</v>
      </c>
      <c r="E78" s="93">
        <v>1.0012000000000001</v>
      </c>
      <c r="F78" s="93">
        <v>1.0012000000000001</v>
      </c>
      <c r="G78" s="93">
        <v>1.0012000000000001</v>
      </c>
      <c r="H78" s="93">
        <v>1.0003</v>
      </c>
      <c r="I78" s="93">
        <v>1.0003</v>
      </c>
      <c r="J78" s="333">
        <v>0.99839999999999995</v>
      </c>
      <c r="K78" s="333">
        <v>0.99919999999999998</v>
      </c>
      <c r="L78" s="333">
        <v>0.99919999999999998</v>
      </c>
      <c r="M78" s="333">
        <v>0.99739999999999995</v>
      </c>
      <c r="N78" s="333">
        <v>0.99739999999999995</v>
      </c>
      <c r="O78" s="333">
        <f>+Factores!F78</f>
        <v>0.98329999999999995</v>
      </c>
    </row>
    <row r="79" spans="1:15" ht="18">
      <c r="A79" s="130" t="s">
        <v>46</v>
      </c>
      <c r="B79" s="93">
        <v>0.97929999999999995</v>
      </c>
      <c r="C79" s="93">
        <v>0.97929999999999995</v>
      </c>
      <c r="D79" s="333">
        <v>0.97929999999999995</v>
      </c>
      <c r="E79" s="93">
        <v>0.97929999999999995</v>
      </c>
      <c r="F79" s="93">
        <v>0.97929999999999995</v>
      </c>
      <c r="G79" s="93">
        <v>0.97929999999999995</v>
      </c>
      <c r="H79" s="93">
        <v>0.9798</v>
      </c>
      <c r="I79" s="93">
        <v>0.9798</v>
      </c>
      <c r="J79" s="333">
        <v>0.97940000000000005</v>
      </c>
      <c r="K79" s="333">
        <v>0.98019999999999996</v>
      </c>
      <c r="L79" s="333">
        <v>0.98019999999999996</v>
      </c>
      <c r="M79" s="333">
        <v>0.98080000000000001</v>
      </c>
      <c r="N79" s="333">
        <v>0.98080000000000001</v>
      </c>
      <c r="O79" s="333">
        <f>+Factores!F79</f>
        <v>0.96940000000000004</v>
      </c>
    </row>
    <row r="80" spans="1:15" ht="18">
      <c r="A80" s="130" t="s">
        <v>47</v>
      </c>
      <c r="B80" s="93">
        <v>0.97599999999999998</v>
      </c>
      <c r="C80" s="93">
        <v>0.97599999999999998</v>
      </c>
      <c r="D80" s="333">
        <v>0.97599999999999998</v>
      </c>
      <c r="E80" s="93">
        <v>0.97599999999999998</v>
      </c>
      <c r="F80" s="93">
        <v>0.97599999999999998</v>
      </c>
      <c r="G80" s="93">
        <v>0.97599999999999998</v>
      </c>
      <c r="H80" s="93">
        <v>0.9758</v>
      </c>
      <c r="I80" s="93">
        <v>0.9758</v>
      </c>
      <c r="J80" s="333">
        <v>0.97509999999999997</v>
      </c>
      <c r="K80" s="333">
        <v>0.9758</v>
      </c>
      <c r="L80" s="333">
        <v>0.9758</v>
      </c>
      <c r="M80" s="333">
        <v>0.97670000000000001</v>
      </c>
      <c r="N80" s="333">
        <v>0.97670000000000001</v>
      </c>
      <c r="O80" s="333">
        <f>+Factores!F80</f>
        <v>0.96499999999999997</v>
      </c>
    </row>
    <row r="81" spans="1:15" ht="18">
      <c r="A81" s="130" t="s">
        <v>48</v>
      </c>
      <c r="B81" s="93">
        <v>0.98950000000000005</v>
      </c>
      <c r="C81" s="93">
        <v>0.98950000000000005</v>
      </c>
      <c r="D81" s="333">
        <v>0.98950000000000005</v>
      </c>
      <c r="E81" s="93">
        <v>0.98950000000000005</v>
      </c>
      <c r="F81" s="93">
        <v>0.98950000000000005</v>
      </c>
      <c r="G81" s="93">
        <v>0.98950000000000005</v>
      </c>
      <c r="H81" s="93">
        <v>0.98480000000000001</v>
      </c>
      <c r="I81" s="93">
        <v>0.98480000000000001</v>
      </c>
      <c r="J81" s="333">
        <v>0.98009999999999997</v>
      </c>
      <c r="K81" s="333">
        <v>0.98080000000000001</v>
      </c>
      <c r="L81" s="333">
        <v>0.98080000000000001</v>
      </c>
      <c r="M81" s="333">
        <v>0.97960000000000003</v>
      </c>
      <c r="N81" s="333">
        <v>0.97960000000000003</v>
      </c>
      <c r="O81" s="333">
        <f>+Factores!F81</f>
        <v>0.96279999999999999</v>
      </c>
    </row>
    <row r="82" spans="1:15" ht="18">
      <c r="A82" s="130" t="s">
        <v>200</v>
      </c>
      <c r="B82" s="93">
        <v>0.97729999999999995</v>
      </c>
      <c r="C82" s="93">
        <v>0.97729999999999995</v>
      </c>
      <c r="D82" s="333">
        <v>0.97729999999999995</v>
      </c>
      <c r="E82" s="93">
        <v>0.97729999999999995</v>
      </c>
      <c r="F82" s="93">
        <v>0.97729999999999995</v>
      </c>
      <c r="G82" s="93">
        <v>0.97729999999999995</v>
      </c>
      <c r="H82" s="93">
        <v>0.97740000000000005</v>
      </c>
      <c r="I82" s="93">
        <v>0.97740000000000005</v>
      </c>
      <c r="J82" s="333">
        <v>0.9768</v>
      </c>
      <c r="K82" s="333">
        <v>0.97760000000000002</v>
      </c>
      <c r="L82" s="333">
        <v>0.97760000000000002</v>
      </c>
      <c r="M82" s="333">
        <v>0.97829999999999995</v>
      </c>
      <c r="N82" s="333">
        <v>0.97829999999999995</v>
      </c>
      <c r="O82" s="333">
        <f>+Factores!F82</f>
        <v>0.96679999999999999</v>
      </c>
    </row>
    <row r="83" spans="1:15" ht="18">
      <c r="A83" s="130" t="s">
        <v>201</v>
      </c>
      <c r="B83" s="93">
        <v>0.97899999999999998</v>
      </c>
      <c r="C83" s="93">
        <v>0.97899999999999998</v>
      </c>
      <c r="D83" s="333">
        <v>0.97899999999999998</v>
      </c>
      <c r="E83" s="93">
        <v>0.97899999999999998</v>
      </c>
      <c r="F83" s="93">
        <v>0.97899999999999998</v>
      </c>
      <c r="G83" s="93">
        <v>0.97899999999999998</v>
      </c>
      <c r="H83" s="93">
        <v>0.97929999999999995</v>
      </c>
      <c r="I83" s="93">
        <v>0.97929999999999995</v>
      </c>
      <c r="J83" s="333">
        <v>0.97889999999999999</v>
      </c>
      <c r="K83" s="333">
        <v>0.97960000000000003</v>
      </c>
      <c r="L83" s="333">
        <v>0.97960000000000003</v>
      </c>
      <c r="M83" s="333">
        <v>0.98029999999999995</v>
      </c>
      <c r="N83" s="333">
        <v>0.98029999999999995</v>
      </c>
      <c r="O83" s="333">
        <f>+Factores!F83</f>
        <v>0.96889999999999998</v>
      </c>
    </row>
    <row r="84" spans="1:15" ht="18">
      <c r="A84" s="130" t="s">
        <v>202</v>
      </c>
      <c r="B84" s="93">
        <v>0.97729999999999995</v>
      </c>
      <c r="C84" s="93">
        <v>0.97729999999999995</v>
      </c>
      <c r="D84" s="333">
        <v>0.97729999999999995</v>
      </c>
      <c r="E84" s="93">
        <v>0.97729999999999995</v>
      </c>
      <c r="F84" s="93">
        <v>0.97729999999999995</v>
      </c>
      <c r="G84" s="93">
        <v>0.97729999999999995</v>
      </c>
      <c r="H84" s="93">
        <v>0.97740000000000005</v>
      </c>
      <c r="I84" s="93">
        <v>0.97740000000000005</v>
      </c>
      <c r="J84" s="333">
        <v>0.9768</v>
      </c>
      <c r="K84" s="333">
        <v>0.97760000000000002</v>
      </c>
      <c r="L84" s="333">
        <v>0.97760000000000002</v>
      </c>
      <c r="M84" s="333">
        <v>0.97829999999999995</v>
      </c>
      <c r="N84" s="333">
        <v>0.97829999999999995</v>
      </c>
      <c r="O84" s="333">
        <f>+Factores!F84</f>
        <v>0.96679999999999999</v>
      </c>
    </row>
    <row r="85" spans="1:15" ht="18">
      <c r="A85" s="130" t="s">
        <v>203</v>
      </c>
      <c r="B85" s="93">
        <v>0.97899999999999998</v>
      </c>
      <c r="C85" s="93">
        <v>0.97899999999999998</v>
      </c>
      <c r="D85" s="333">
        <v>0.97899999999999998</v>
      </c>
      <c r="E85" s="93">
        <v>0.97899999999999998</v>
      </c>
      <c r="F85" s="93">
        <v>0.97899999999999998</v>
      </c>
      <c r="G85" s="93">
        <v>0.97899999999999998</v>
      </c>
      <c r="H85" s="93">
        <v>0.97929999999999995</v>
      </c>
      <c r="I85" s="93">
        <v>0.97929999999999995</v>
      </c>
      <c r="J85" s="333">
        <v>0.97889999999999999</v>
      </c>
      <c r="K85" s="333">
        <v>0.97960000000000003</v>
      </c>
      <c r="L85" s="333">
        <v>0.97960000000000003</v>
      </c>
      <c r="M85" s="333">
        <v>0.98029999999999995</v>
      </c>
      <c r="N85" s="333">
        <v>0.98029999999999995</v>
      </c>
      <c r="O85" s="333">
        <f>+Factores!F85</f>
        <v>0.96889999999999998</v>
      </c>
    </row>
    <row r="86" spans="1:15" ht="18">
      <c r="A86" s="134" t="s">
        <v>209</v>
      </c>
      <c r="B86" s="93">
        <v>1.0409999999999999</v>
      </c>
      <c r="C86" s="93">
        <v>1.0409999999999999</v>
      </c>
      <c r="D86" s="333">
        <v>1.0409999999999999</v>
      </c>
      <c r="E86" s="90">
        <v>1.0409999999999999</v>
      </c>
      <c r="F86" s="90">
        <v>1.0409999999999999</v>
      </c>
      <c r="G86" s="90">
        <v>1.0409999999999999</v>
      </c>
      <c r="H86" s="90">
        <v>1.0508999999999999</v>
      </c>
      <c r="I86" s="90">
        <v>1.0508999999999999</v>
      </c>
      <c r="J86" s="90">
        <v>1.0572999999999999</v>
      </c>
      <c r="K86" s="90">
        <v>1.0585</v>
      </c>
      <c r="L86" s="90">
        <v>1.0585</v>
      </c>
      <c r="M86" s="90">
        <v>1.0542</v>
      </c>
      <c r="N86" s="90">
        <v>1.0542</v>
      </c>
      <c r="O86" s="90">
        <f>+Factores!F86</f>
        <v>1.0479000000000001</v>
      </c>
    </row>
    <row r="87" spans="1:15" ht="18">
      <c r="A87" s="134" t="s">
        <v>50</v>
      </c>
      <c r="B87" s="93">
        <v>0.8679</v>
      </c>
      <c r="C87" s="93">
        <v>0.8679</v>
      </c>
      <c r="D87" s="333">
        <v>0.8679</v>
      </c>
      <c r="E87" s="90">
        <v>0.8679</v>
      </c>
      <c r="F87" s="90">
        <v>0.8679</v>
      </c>
      <c r="G87" s="90">
        <v>0.8679</v>
      </c>
      <c r="H87" s="90">
        <v>0.85229999999999995</v>
      </c>
      <c r="I87" s="90">
        <v>0.85229999999999995</v>
      </c>
      <c r="J87" s="90">
        <v>0.84050000000000002</v>
      </c>
      <c r="K87" s="90">
        <v>0.84050000000000002</v>
      </c>
      <c r="L87" s="90">
        <v>0.84050000000000002</v>
      </c>
      <c r="M87" s="90">
        <v>0.85009999999999997</v>
      </c>
      <c r="N87" s="90">
        <v>0.85009999999999997</v>
      </c>
      <c r="O87" s="90">
        <f>+Factores!F87</f>
        <v>0.83069999999999999</v>
      </c>
    </row>
    <row r="88" spans="1:15" ht="18">
      <c r="A88" s="140" t="s">
        <v>545</v>
      </c>
      <c r="B88" s="94">
        <v>1.1995</v>
      </c>
      <c r="C88" s="94">
        <v>1.1995</v>
      </c>
      <c r="D88" s="334">
        <v>1.1995</v>
      </c>
      <c r="E88" s="91">
        <v>1.1995</v>
      </c>
      <c r="F88" s="91">
        <v>1.1995</v>
      </c>
      <c r="G88" s="91">
        <v>1.1995</v>
      </c>
      <c r="H88" s="91">
        <v>1.2109000000000001</v>
      </c>
      <c r="I88" s="91">
        <v>1.2109000000000001</v>
      </c>
      <c r="J88" s="91">
        <v>1.2182999999999999</v>
      </c>
      <c r="K88" s="91">
        <v>1.2182999999999999</v>
      </c>
      <c r="L88" s="91">
        <v>1.2182999999999999</v>
      </c>
      <c r="M88" s="91">
        <v>1.2156</v>
      </c>
      <c r="N88" s="91">
        <v>1.2156</v>
      </c>
      <c r="O88" s="91">
        <f>+Factores!F88</f>
        <v>1.2045999999999999</v>
      </c>
    </row>
    <row r="89" spans="1:15">
      <c r="A89" s="414" t="s">
        <v>390</v>
      </c>
      <c r="B89" s="166"/>
      <c r="C89" s="166"/>
      <c r="D89" s="166"/>
      <c r="E89" s="166" t="s">
        <v>290</v>
      </c>
      <c r="F89" s="166" t="s">
        <v>290</v>
      </c>
      <c r="G89" s="166" t="s">
        <v>290</v>
      </c>
      <c r="H89" s="166" t="s">
        <v>290</v>
      </c>
      <c r="I89" s="166" t="s">
        <v>290</v>
      </c>
      <c r="J89" s="166" t="s">
        <v>290</v>
      </c>
      <c r="K89" s="166" t="s">
        <v>290</v>
      </c>
      <c r="L89" s="166" t="s">
        <v>290</v>
      </c>
      <c r="M89" s="166" t="s">
        <v>290</v>
      </c>
      <c r="N89" s="166" t="s">
        <v>290</v>
      </c>
      <c r="O89" s="166" t="str">
        <f>+Factores!F89</f>
        <v/>
      </c>
    </row>
    <row r="90" spans="1:15">
      <c r="A90" s="415" t="s">
        <v>391</v>
      </c>
      <c r="B90" s="416"/>
      <c r="C90" s="416"/>
      <c r="D90" s="416"/>
      <c r="E90" s="416" t="s">
        <v>290</v>
      </c>
      <c r="F90" s="416" t="s">
        <v>290</v>
      </c>
      <c r="G90" s="416" t="s">
        <v>290</v>
      </c>
      <c r="H90" s="416" t="s">
        <v>290</v>
      </c>
      <c r="I90" s="416" t="s">
        <v>290</v>
      </c>
      <c r="J90" s="416" t="s">
        <v>290</v>
      </c>
      <c r="K90" s="416" t="s">
        <v>290</v>
      </c>
      <c r="L90" s="416" t="s">
        <v>290</v>
      </c>
      <c r="M90" s="416" t="s">
        <v>290</v>
      </c>
      <c r="N90" s="416" t="s">
        <v>290</v>
      </c>
      <c r="O90" s="416" t="str">
        <f>+Factores!F90</f>
        <v/>
      </c>
    </row>
    <row r="91" spans="1:15">
      <c r="A91" s="417" t="s">
        <v>392</v>
      </c>
      <c r="B91" s="416"/>
      <c r="C91" s="416"/>
      <c r="D91" s="416"/>
      <c r="E91" s="416" t="s">
        <v>290</v>
      </c>
      <c r="F91" s="416" t="s">
        <v>290</v>
      </c>
      <c r="G91" s="416" t="s">
        <v>290</v>
      </c>
      <c r="H91" s="416" t="s">
        <v>290</v>
      </c>
      <c r="I91" s="416" t="s">
        <v>290</v>
      </c>
      <c r="J91" s="416" t="s">
        <v>290</v>
      </c>
      <c r="K91" s="416" t="s">
        <v>290</v>
      </c>
      <c r="L91" s="416" t="s">
        <v>290</v>
      </c>
      <c r="M91" s="416" t="s">
        <v>290</v>
      </c>
      <c r="N91" s="416" t="s">
        <v>290</v>
      </c>
      <c r="O91" s="416" t="str">
        <f>+Factores!F91</f>
        <v/>
      </c>
    </row>
    <row r="92" spans="1:15" ht="18">
      <c r="A92" s="418" t="s">
        <v>393</v>
      </c>
      <c r="B92" s="93"/>
      <c r="C92" s="93"/>
      <c r="D92" s="93"/>
      <c r="E92" s="93">
        <v>1.0297000000000001</v>
      </c>
      <c r="F92" s="93">
        <v>1.0297000000000001</v>
      </c>
      <c r="G92" s="93">
        <v>1.0297000000000001</v>
      </c>
      <c r="H92" s="93">
        <v>1.0162</v>
      </c>
      <c r="I92" s="93">
        <v>1.0162</v>
      </c>
      <c r="J92" s="93">
        <v>1.0048999999999999</v>
      </c>
      <c r="K92" s="93">
        <v>1.0053000000000001</v>
      </c>
      <c r="L92" s="93">
        <v>1.0053000000000001</v>
      </c>
      <c r="M92" s="93">
        <v>1.008</v>
      </c>
      <c r="N92" s="93">
        <v>1.008</v>
      </c>
      <c r="O92" s="333">
        <f>+Factores!F92</f>
        <v>0.9849</v>
      </c>
    </row>
    <row r="93" spans="1:15" ht="18">
      <c r="A93" s="418" t="s">
        <v>394</v>
      </c>
      <c r="B93" s="93"/>
      <c r="C93" s="93"/>
      <c r="D93" s="93"/>
      <c r="E93" s="93">
        <v>1.0533999999999999</v>
      </c>
      <c r="F93" s="93">
        <v>1.0533999999999999</v>
      </c>
      <c r="G93" s="93">
        <v>1.0533999999999999</v>
      </c>
      <c r="H93" s="93">
        <v>1.0364</v>
      </c>
      <c r="I93" s="93">
        <v>1.0364</v>
      </c>
      <c r="J93" s="93">
        <v>1.0216000000000001</v>
      </c>
      <c r="K93" s="93">
        <v>1.022</v>
      </c>
      <c r="L93" s="93">
        <v>1.022</v>
      </c>
      <c r="M93" s="93">
        <v>1.0208999999999999</v>
      </c>
      <c r="N93" s="93">
        <v>1.0208999999999999</v>
      </c>
      <c r="O93" s="333">
        <f>+Factores!F93</f>
        <v>0.99219999999999997</v>
      </c>
    </row>
    <row r="94" spans="1:15" ht="18">
      <c r="A94" s="418" t="s">
        <v>395</v>
      </c>
      <c r="B94" s="93"/>
      <c r="C94" s="93"/>
      <c r="D94" s="93"/>
      <c r="E94" s="93">
        <v>0.99329999999999996</v>
      </c>
      <c r="F94" s="93">
        <v>0.99329999999999996</v>
      </c>
      <c r="G94" s="93">
        <v>0.99329999999999996</v>
      </c>
      <c r="H94" s="93">
        <v>0.98050000000000004</v>
      </c>
      <c r="I94" s="93">
        <v>0.98050000000000004</v>
      </c>
      <c r="J94" s="93">
        <v>0.97060000000000002</v>
      </c>
      <c r="K94" s="93">
        <v>0.9708</v>
      </c>
      <c r="L94" s="93">
        <v>0.9708</v>
      </c>
      <c r="M94" s="93">
        <v>0.97899999999999998</v>
      </c>
      <c r="N94" s="93">
        <v>0.97899999999999998</v>
      </c>
      <c r="O94" s="333">
        <f>+Factores!F94</f>
        <v>0.9597</v>
      </c>
    </row>
    <row r="95" spans="1:15" ht="18">
      <c r="A95" s="418" t="s">
        <v>396</v>
      </c>
      <c r="B95" s="93"/>
      <c r="C95" s="93"/>
      <c r="D95" s="93"/>
      <c r="E95" s="93">
        <v>1.0681</v>
      </c>
      <c r="F95" s="93">
        <v>1.0681</v>
      </c>
      <c r="G95" s="93">
        <v>1.0681</v>
      </c>
      <c r="H95" s="93">
        <v>1.0517000000000001</v>
      </c>
      <c r="I95" s="93">
        <v>1.0517000000000001</v>
      </c>
      <c r="J95" s="93">
        <v>1.0373000000000001</v>
      </c>
      <c r="K95" s="93">
        <v>1.0378000000000001</v>
      </c>
      <c r="L95" s="93">
        <v>1.0378000000000001</v>
      </c>
      <c r="M95" s="93">
        <v>1.0358000000000001</v>
      </c>
      <c r="N95" s="93">
        <v>1.0358000000000001</v>
      </c>
      <c r="O95" s="333">
        <f>+Factores!F95</f>
        <v>1.0075000000000001</v>
      </c>
    </row>
    <row r="96" spans="1:15" ht="18">
      <c r="A96" s="418" t="s">
        <v>397</v>
      </c>
      <c r="B96" s="93"/>
      <c r="C96" s="93"/>
      <c r="D96" s="93"/>
      <c r="E96" s="93">
        <v>1.0676000000000001</v>
      </c>
      <c r="F96" s="93">
        <v>1.0676000000000001</v>
      </c>
      <c r="G96" s="93">
        <v>1.0676000000000001</v>
      </c>
      <c r="H96" s="93">
        <v>1.0777000000000001</v>
      </c>
      <c r="I96" s="93">
        <v>1.0777000000000001</v>
      </c>
      <c r="J96" s="93">
        <v>1.0843</v>
      </c>
      <c r="K96" s="93">
        <v>1.0854999999999999</v>
      </c>
      <c r="L96" s="93">
        <v>1.0854999999999999</v>
      </c>
      <c r="M96" s="93">
        <v>1.0811999999999999</v>
      </c>
      <c r="N96" s="93">
        <v>1.0811999999999999</v>
      </c>
      <c r="O96" s="333">
        <f>+Factores!F96</f>
        <v>1.0746</v>
      </c>
    </row>
    <row r="97" spans="1:15" ht="18">
      <c r="A97" s="417" t="s">
        <v>398</v>
      </c>
      <c r="B97" s="93"/>
      <c r="C97" s="93"/>
      <c r="D97" s="93"/>
      <c r="E97" s="93" t="s">
        <v>290</v>
      </c>
      <c r="F97" s="93" t="s">
        <v>290</v>
      </c>
      <c r="G97" s="93" t="s">
        <v>290</v>
      </c>
      <c r="H97" s="93" t="s">
        <v>290</v>
      </c>
      <c r="I97" s="93" t="s">
        <v>290</v>
      </c>
      <c r="J97" s="93" t="s">
        <v>290</v>
      </c>
      <c r="K97" s="93" t="s">
        <v>290</v>
      </c>
      <c r="L97" s="93" t="s">
        <v>290</v>
      </c>
      <c r="M97" s="93" t="s">
        <v>290</v>
      </c>
      <c r="N97" s="93" t="s">
        <v>290</v>
      </c>
      <c r="O97" s="333" t="str">
        <f>+Factores!F97</f>
        <v/>
      </c>
    </row>
    <row r="98" spans="1:15" ht="18">
      <c r="A98" s="418" t="s">
        <v>393</v>
      </c>
      <c r="B98" s="93"/>
      <c r="C98" s="93"/>
      <c r="D98" s="93"/>
      <c r="E98" s="93">
        <v>1.0217000000000001</v>
      </c>
      <c r="F98" s="93">
        <v>1.0217000000000001</v>
      </c>
      <c r="G98" s="93">
        <v>1.0217000000000001</v>
      </c>
      <c r="H98" s="93">
        <v>1.0074000000000001</v>
      </c>
      <c r="I98" s="93">
        <v>1.0074000000000001</v>
      </c>
      <c r="J98" s="93">
        <v>0.99570000000000003</v>
      </c>
      <c r="K98" s="93">
        <v>0.996</v>
      </c>
      <c r="L98" s="93">
        <v>0.996</v>
      </c>
      <c r="M98" s="93">
        <v>0.99990000000000001</v>
      </c>
      <c r="N98" s="93">
        <v>0.99990000000000001</v>
      </c>
      <c r="O98" s="333">
        <f>+Factores!F98</f>
        <v>0.9768</v>
      </c>
    </row>
    <row r="99" spans="1:15" ht="18">
      <c r="A99" s="417" t="s">
        <v>399</v>
      </c>
      <c r="B99" s="93"/>
      <c r="C99" s="93"/>
      <c r="D99" s="93"/>
      <c r="E99" s="93" t="s">
        <v>290</v>
      </c>
      <c r="F99" s="93" t="s">
        <v>290</v>
      </c>
      <c r="G99" s="93" t="s">
        <v>290</v>
      </c>
      <c r="H99" s="93" t="s">
        <v>290</v>
      </c>
      <c r="I99" s="93" t="s">
        <v>290</v>
      </c>
      <c r="J99" s="93" t="s">
        <v>290</v>
      </c>
      <c r="K99" s="93" t="s">
        <v>290</v>
      </c>
      <c r="L99" s="93" t="s">
        <v>290</v>
      </c>
      <c r="M99" s="93" t="s">
        <v>290</v>
      </c>
      <c r="N99" s="93" t="s">
        <v>290</v>
      </c>
      <c r="O99" s="333" t="str">
        <f>+Factores!F99</f>
        <v/>
      </c>
    </row>
    <row r="100" spans="1:15" ht="18">
      <c r="A100" s="418" t="s">
        <v>393</v>
      </c>
      <c r="B100" s="93"/>
      <c r="C100" s="93"/>
      <c r="D100" s="93"/>
      <c r="E100" s="93">
        <v>1.133</v>
      </c>
      <c r="F100" s="93">
        <v>1.133</v>
      </c>
      <c r="G100" s="93">
        <v>1.133</v>
      </c>
      <c r="H100" s="93">
        <v>1.0994999999999999</v>
      </c>
      <c r="I100" s="93">
        <v>1.0994999999999999</v>
      </c>
      <c r="J100" s="93">
        <v>1.0704</v>
      </c>
      <c r="K100" s="93">
        <v>1.0707</v>
      </c>
      <c r="L100" s="93">
        <v>1.0707</v>
      </c>
      <c r="M100" s="93">
        <v>1.0611999999999999</v>
      </c>
      <c r="N100" s="93">
        <v>1.0611999999999999</v>
      </c>
      <c r="O100" s="333">
        <f>+Factores!F100</f>
        <v>1.0136000000000001</v>
      </c>
    </row>
    <row r="101" spans="1:15" ht="18">
      <c r="A101" s="415" t="s">
        <v>400</v>
      </c>
      <c r="B101" s="93"/>
      <c r="C101" s="93"/>
      <c r="D101" s="93"/>
      <c r="E101" s="93" t="s">
        <v>290</v>
      </c>
      <c r="F101" s="93" t="s">
        <v>290</v>
      </c>
      <c r="G101" s="93" t="s">
        <v>290</v>
      </c>
      <c r="H101" s="93" t="s">
        <v>290</v>
      </c>
      <c r="I101" s="93" t="s">
        <v>290</v>
      </c>
      <c r="J101" s="93" t="s">
        <v>290</v>
      </c>
      <c r="K101" s="93" t="s">
        <v>290</v>
      </c>
      <c r="L101" s="93" t="s">
        <v>290</v>
      </c>
      <c r="M101" s="93" t="s">
        <v>290</v>
      </c>
      <c r="N101" s="93" t="s">
        <v>290</v>
      </c>
      <c r="O101" s="333" t="str">
        <f>+Factores!F101</f>
        <v/>
      </c>
    </row>
    <row r="102" spans="1:15" ht="18">
      <c r="A102" s="418" t="s">
        <v>393</v>
      </c>
      <c r="B102" s="93"/>
      <c r="C102" s="93"/>
      <c r="D102" s="93"/>
      <c r="E102" s="93">
        <v>1.0569</v>
      </c>
      <c r="F102" s="93">
        <v>1.0569</v>
      </c>
      <c r="G102" s="93">
        <v>1.0569</v>
      </c>
      <c r="H102" s="93">
        <v>1.0637000000000001</v>
      </c>
      <c r="I102" s="93">
        <v>1.0637000000000001</v>
      </c>
      <c r="J102" s="93">
        <v>1.0678000000000001</v>
      </c>
      <c r="K102" s="93">
        <v>1.069</v>
      </c>
      <c r="L102" s="93">
        <v>1.069</v>
      </c>
      <c r="M102" s="93">
        <v>1.0664</v>
      </c>
      <c r="N102" s="93">
        <v>1.0664</v>
      </c>
      <c r="O102" s="333">
        <f>+Factores!F102</f>
        <v>1.0580000000000001</v>
      </c>
    </row>
    <row r="103" spans="1:15" ht="18">
      <c r="A103" s="419" t="s">
        <v>401</v>
      </c>
      <c r="B103" s="94"/>
      <c r="C103" s="94"/>
      <c r="D103" s="94"/>
      <c r="E103" s="94">
        <v>1.0622</v>
      </c>
      <c r="F103" s="94">
        <v>1.0622</v>
      </c>
      <c r="G103" s="94">
        <v>1.0622</v>
      </c>
      <c r="H103" s="94">
        <v>1.0707</v>
      </c>
      <c r="I103" s="94">
        <v>1.0707</v>
      </c>
      <c r="J103" s="94">
        <v>1.0760000000000001</v>
      </c>
      <c r="K103" s="94">
        <v>1.0772999999999999</v>
      </c>
      <c r="L103" s="94">
        <v>1.0772999999999999</v>
      </c>
      <c r="M103" s="94">
        <v>1.0738000000000001</v>
      </c>
      <c r="N103" s="94">
        <v>1.0738000000000001</v>
      </c>
      <c r="O103" s="334">
        <f>+Factores!F103</f>
        <v>1.0663</v>
      </c>
    </row>
    <row r="104" spans="1:15">
      <c r="A104" s="414" t="s">
        <v>403</v>
      </c>
      <c r="B104" s="166"/>
      <c r="C104" s="166"/>
      <c r="D104" s="166"/>
      <c r="E104" s="166" t="s">
        <v>290</v>
      </c>
      <c r="F104" s="166" t="s">
        <v>290</v>
      </c>
      <c r="G104" s="166" t="s">
        <v>290</v>
      </c>
      <c r="H104" s="166" t="s">
        <v>290</v>
      </c>
      <c r="I104" s="166" t="s">
        <v>290</v>
      </c>
      <c r="J104" s="166" t="s">
        <v>290</v>
      </c>
      <c r="K104" s="166" t="s">
        <v>290</v>
      </c>
      <c r="L104" s="166" t="s">
        <v>290</v>
      </c>
      <c r="M104" s="166" t="s">
        <v>290</v>
      </c>
      <c r="N104" s="166" t="s">
        <v>290</v>
      </c>
      <c r="O104" s="166" t="str">
        <f>+Factores!F104</f>
        <v/>
      </c>
    </row>
    <row r="105" spans="1:15" ht="18">
      <c r="A105" s="419" t="s">
        <v>402</v>
      </c>
      <c r="B105" s="94"/>
      <c r="C105" s="94"/>
      <c r="D105" s="94"/>
      <c r="E105" s="94">
        <v>1.0384</v>
      </c>
      <c r="F105" s="94">
        <v>1.0384</v>
      </c>
      <c r="G105" s="94">
        <v>1.0384</v>
      </c>
      <c r="H105" s="94">
        <v>1.0482</v>
      </c>
      <c r="I105" s="94">
        <v>1.0482</v>
      </c>
      <c r="J105" s="94">
        <v>1.0546</v>
      </c>
      <c r="K105" s="94">
        <v>1.0559000000000001</v>
      </c>
      <c r="L105" s="94">
        <v>1.0559000000000001</v>
      </c>
      <c r="M105" s="94">
        <v>1.0516000000000001</v>
      </c>
      <c r="N105" s="94">
        <v>1.0516000000000001</v>
      </c>
      <c r="O105" s="334">
        <f>+Factores!F105</f>
        <v>1.0452999999999999</v>
      </c>
    </row>
    <row r="106" spans="1:15">
      <c r="C106" s="16"/>
      <c r="D106" s="16"/>
      <c r="H106" s="27"/>
      <c r="I106" s="27"/>
      <c r="N106" s="582"/>
    </row>
    <row r="107" spans="1:15">
      <c r="C107" s="16"/>
      <c r="D107" s="16"/>
      <c r="H107" s="27"/>
      <c r="I107" s="27"/>
      <c r="N107" s="583"/>
    </row>
    <row r="108" spans="1:15">
      <c r="C108" s="16"/>
      <c r="D108" s="16"/>
      <c r="H108" s="27"/>
      <c r="I108" s="27"/>
    </row>
    <row r="109" spans="1:15">
      <c r="C109" s="16"/>
      <c r="D109" s="16"/>
      <c r="H109" s="27"/>
      <c r="I109" s="27"/>
      <c r="N109" s="56"/>
    </row>
    <row r="110" spans="1:15">
      <c r="C110" s="16"/>
      <c r="D110" s="16"/>
      <c r="H110" s="27"/>
      <c r="I110" s="27"/>
      <c r="N110" s="56"/>
    </row>
    <row r="111" spans="1:15">
      <c r="C111" s="16"/>
      <c r="D111" s="16"/>
      <c r="H111" s="27"/>
      <c r="I111" s="27"/>
      <c r="N111" s="56"/>
    </row>
    <row r="112" spans="1:15">
      <c r="C112" s="16"/>
      <c r="D112" s="16"/>
      <c r="H112" s="27"/>
      <c r="I112" s="27"/>
      <c r="N112" s="56"/>
    </row>
    <row r="113" spans="3:14">
      <c r="C113" s="16"/>
      <c r="D113" s="16"/>
      <c r="H113" s="27"/>
      <c r="I113" s="27"/>
      <c r="N113" s="16"/>
    </row>
    <row r="114" spans="3:14">
      <c r="C114" s="16"/>
      <c r="D114" s="16"/>
      <c r="H114" s="27"/>
      <c r="I114" s="27"/>
      <c r="N114" s="16"/>
    </row>
    <row r="115" spans="3:14">
      <c r="C115" s="16"/>
      <c r="D115" s="16"/>
      <c r="H115" s="27"/>
      <c r="I115" s="27"/>
      <c r="N115" s="16"/>
    </row>
    <row r="116" spans="3:14">
      <c r="C116" s="16"/>
      <c r="D116" s="16"/>
      <c r="H116" s="27"/>
      <c r="I116" s="27"/>
      <c r="N116" s="16"/>
    </row>
    <row r="117" spans="3:14">
      <c r="C117" s="16"/>
      <c r="D117" s="16"/>
      <c r="H117" s="27"/>
      <c r="I117" s="27"/>
      <c r="N117" s="16"/>
    </row>
    <row r="118" spans="3:14">
      <c r="C118" s="16"/>
      <c r="D118" s="16"/>
      <c r="H118" s="27"/>
      <c r="I118" s="27"/>
      <c r="N118" s="16"/>
    </row>
    <row r="119" spans="3:14">
      <c r="C119" s="16"/>
      <c r="D119" s="16"/>
      <c r="H119" s="27"/>
      <c r="I119" s="27"/>
      <c r="N119" s="16"/>
    </row>
    <row r="120" spans="3:14">
      <c r="C120" s="16"/>
      <c r="D120" s="16"/>
      <c r="H120" s="27"/>
      <c r="I120" s="27"/>
      <c r="N120" s="16"/>
    </row>
    <row r="121" spans="3:14">
      <c r="C121" s="16"/>
      <c r="D121" s="16"/>
      <c r="H121" s="27"/>
      <c r="I121" s="27"/>
      <c r="N121" s="16"/>
    </row>
    <row r="122" spans="3:14">
      <c r="C122" s="16"/>
      <c r="D122" s="16"/>
      <c r="H122" s="27"/>
      <c r="I122" s="27"/>
      <c r="N122" s="16"/>
    </row>
    <row r="123" spans="3:14">
      <c r="C123" s="16"/>
      <c r="D123" s="16"/>
      <c r="H123" s="27"/>
      <c r="I123" s="27"/>
      <c r="N123" s="16"/>
    </row>
    <row r="124" spans="3:14">
      <c r="C124" s="16"/>
      <c r="D124" s="16"/>
      <c r="H124" s="27"/>
      <c r="I124" s="27"/>
      <c r="N124" s="16"/>
    </row>
    <row r="125" spans="3:14">
      <c r="C125" s="16"/>
      <c r="D125" s="16"/>
      <c r="H125" s="27"/>
      <c r="I125" s="27"/>
      <c r="N125" s="16"/>
    </row>
    <row r="126" spans="3:14">
      <c r="C126" s="16"/>
      <c r="D126" s="16"/>
      <c r="H126" s="27"/>
      <c r="I126" s="27"/>
      <c r="N126" s="16"/>
    </row>
    <row r="127" spans="3:14">
      <c r="C127" s="16"/>
      <c r="D127" s="16"/>
      <c r="H127" s="27"/>
      <c r="I127" s="27"/>
      <c r="N127" s="16"/>
    </row>
    <row r="128" spans="3:14">
      <c r="C128" s="16"/>
      <c r="D128" s="16"/>
      <c r="H128" s="27"/>
      <c r="I128" s="27"/>
      <c r="N128" s="16"/>
    </row>
    <row r="129" spans="3:14">
      <c r="C129" s="16"/>
      <c r="D129" s="16"/>
      <c r="H129" s="27"/>
      <c r="I129" s="27"/>
      <c r="N129" s="16"/>
    </row>
    <row r="130" spans="3:14">
      <c r="C130" s="16"/>
      <c r="D130" s="16"/>
      <c r="H130" s="27"/>
      <c r="I130" s="27"/>
      <c r="N130" s="16"/>
    </row>
    <row r="131" spans="3:14">
      <c r="C131" s="16"/>
      <c r="D131" s="16"/>
      <c r="H131" s="27"/>
      <c r="I131" s="27"/>
      <c r="N131" s="16"/>
    </row>
    <row r="132" spans="3:14">
      <c r="N132" s="16"/>
    </row>
    <row r="133" spans="3:14">
      <c r="N133" s="16"/>
    </row>
    <row r="134" spans="3:14">
      <c r="N134" s="16"/>
    </row>
    <row r="135" spans="3:14">
      <c r="N135" s="16"/>
    </row>
    <row r="136" spans="3:14">
      <c r="N136" s="16"/>
    </row>
    <row r="137" spans="3:14">
      <c r="N137" s="16"/>
    </row>
    <row r="138" spans="3:14">
      <c r="N138" s="16"/>
    </row>
    <row r="139" spans="3:14">
      <c r="N139" s="16"/>
    </row>
    <row r="140" spans="3:14">
      <c r="N140" s="16"/>
    </row>
    <row r="141" spans="3:14">
      <c r="N141" s="16"/>
    </row>
    <row r="142" spans="3:14">
      <c r="N142" s="16"/>
    </row>
    <row r="143" spans="3:14">
      <c r="N143" s="16"/>
    </row>
    <row r="144" spans="3:14">
      <c r="N144" s="16"/>
    </row>
    <row r="145" spans="14:14">
      <c r="N145" s="16"/>
    </row>
    <row r="146" spans="14:14">
      <c r="N146" s="16"/>
    </row>
    <row r="147" spans="14:14">
      <c r="N147" s="16"/>
    </row>
    <row r="148" spans="14:14">
      <c r="N148" s="16"/>
    </row>
    <row r="149" spans="14:14">
      <c r="N149" s="16"/>
    </row>
  </sheetData>
  <printOptions horizontalCentered="1"/>
  <pageMargins left="0.23622047244094491" right="0.19685039370078741" top="0.55118110236220474" bottom="0.15748031496062992" header="0" footer="0"/>
  <pageSetup paperSize="8" scale="72" orientation="landscape" r:id="rId1"/>
  <headerFooter alignWithMargins="0">
    <oddFooter>&amp;RPágina &amp;P de &amp;N</oddFooter>
  </headerFooter>
  <rowBreaks count="1" manualBreakCount="1">
    <brk id="51"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dimension ref="A1:AW80"/>
  <sheetViews>
    <sheetView showGridLines="0" zoomScale="85" zoomScaleNormal="85" workbookViewId="0">
      <selection activeCell="D7" sqref="D7"/>
    </sheetView>
  </sheetViews>
  <sheetFormatPr baseColWidth="10" defaultColWidth="8.88671875" defaultRowHeight="12.75"/>
  <cols>
    <col min="1" max="1" width="8.88671875" style="182"/>
    <col min="2" max="2" width="16.77734375" style="182" customWidth="1"/>
    <col min="3" max="3" width="16.5546875" style="182" customWidth="1"/>
    <col min="4" max="5" width="15.109375" style="182" customWidth="1"/>
    <col min="6" max="6" width="14.5546875" style="182" customWidth="1"/>
    <col min="7" max="8" width="18.109375" style="182" customWidth="1"/>
    <col min="9" max="9" width="16.21875" style="182" customWidth="1"/>
    <col min="10" max="12" width="16" style="182" customWidth="1"/>
    <col min="13" max="13" width="16.77734375" style="182" customWidth="1"/>
    <col min="14" max="14" width="14.5546875" style="584" bestFit="1" customWidth="1"/>
    <col min="15" max="15" width="12.77734375" style="584" bestFit="1" customWidth="1"/>
    <col min="16" max="16" width="15.88671875" style="584" bestFit="1" customWidth="1"/>
    <col min="17" max="48" width="8.88671875" style="584"/>
    <col min="49" max="16384" width="8.88671875" style="182"/>
  </cols>
  <sheetData>
    <row r="1" spans="1:48" ht="26.25">
      <c r="A1" s="522" t="s">
        <v>480</v>
      </c>
      <c r="B1" s="523"/>
      <c r="C1" s="523"/>
      <c r="D1" s="523"/>
      <c r="E1" s="523"/>
      <c r="F1" s="523"/>
      <c r="G1" s="523"/>
      <c r="H1" s="523"/>
      <c r="I1" s="523"/>
      <c r="J1" s="523"/>
      <c r="K1" s="523"/>
      <c r="L1" s="523"/>
      <c r="M1" s="523"/>
      <c r="AG1" s="588" t="s">
        <v>589</v>
      </c>
      <c r="AH1" s="589"/>
      <c r="AI1" s="589"/>
      <c r="AJ1" s="589"/>
      <c r="AK1" s="589"/>
      <c r="AL1" s="589"/>
      <c r="AM1" s="589"/>
      <c r="AN1" s="589"/>
      <c r="AO1" s="588" t="s">
        <v>590</v>
      </c>
      <c r="AP1" s="589"/>
      <c r="AQ1" s="589"/>
      <c r="AR1" s="589"/>
      <c r="AS1" s="589"/>
      <c r="AT1" s="589"/>
    </row>
    <row r="2" spans="1:48" ht="18">
      <c r="B2" s="181"/>
      <c r="C2" s="181"/>
      <c r="D2" s="181"/>
      <c r="E2" s="181"/>
      <c r="O2" s="587" t="s">
        <v>486</v>
      </c>
    </row>
    <row r="3" spans="1:48" s="546" customFormat="1" ht="21">
      <c r="D3" s="577" t="s">
        <v>482</v>
      </c>
      <c r="E3" s="577" t="s">
        <v>482</v>
      </c>
      <c r="F3" s="577" t="s">
        <v>483</v>
      </c>
      <c r="G3" s="577" t="s">
        <v>483</v>
      </c>
      <c r="H3" s="577" t="s">
        <v>482</v>
      </c>
      <c r="N3" s="584"/>
      <c r="P3" s="584"/>
      <c r="Q3" s="584"/>
      <c r="R3" s="584"/>
      <c r="S3" s="584"/>
      <c r="T3" s="584"/>
      <c r="U3" s="584"/>
      <c r="V3" s="584"/>
      <c r="W3" s="584"/>
      <c r="X3" s="584"/>
      <c r="Y3" s="584"/>
      <c r="Z3" s="584"/>
      <c r="AA3" s="584"/>
      <c r="AB3" s="584"/>
      <c r="AC3" s="584"/>
      <c r="AD3" s="584"/>
      <c r="AE3" s="584"/>
      <c r="AF3" s="584"/>
      <c r="AG3" s="584"/>
      <c r="AH3" s="584"/>
      <c r="AI3" s="584"/>
      <c r="AJ3" s="584"/>
      <c r="AK3" s="584"/>
      <c r="AL3" s="584"/>
      <c r="AM3" s="584"/>
      <c r="AN3" s="584"/>
      <c r="AO3" s="584"/>
      <c r="AP3" s="584"/>
      <c r="AQ3" s="584"/>
      <c r="AR3" s="584"/>
      <c r="AS3" s="584"/>
      <c r="AT3" s="584"/>
      <c r="AU3" s="584"/>
      <c r="AV3" s="584"/>
    </row>
    <row r="4" spans="1:48" s="546" customFormat="1" ht="18">
      <c r="B4" s="579"/>
      <c r="C4" s="581" t="s">
        <v>484</v>
      </c>
      <c r="D4" s="575">
        <v>41091</v>
      </c>
      <c r="E4" s="575">
        <v>41091</v>
      </c>
      <c r="F4" s="576">
        <v>41150</v>
      </c>
      <c r="G4" s="575">
        <v>41122</v>
      </c>
      <c r="H4" s="575">
        <v>41091</v>
      </c>
      <c r="N4" s="584"/>
      <c r="O4" s="505" t="s">
        <v>546</v>
      </c>
      <c r="P4" s="584"/>
      <c r="Q4" s="584"/>
      <c r="R4" s="584"/>
      <c r="S4" s="584"/>
      <c r="T4" s="584"/>
      <c r="U4" s="584"/>
      <c r="V4" s="584"/>
      <c r="W4" s="584"/>
      <c r="X4" s="584"/>
      <c r="Y4" s="584"/>
      <c r="Z4" s="584"/>
      <c r="AA4" s="584"/>
      <c r="AB4" s="584"/>
      <c r="AC4" s="584"/>
      <c r="AD4" s="584"/>
      <c r="AE4" s="584"/>
      <c r="AF4" s="584"/>
      <c r="AG4" s="584"/>
      <c r="AH4" s="584"/>
      <c r="AI4" s="584"/>
      <c r="AJ4" s="584"/>
      <c r="AK4" s="584"/>
      <c r="AL4" s="584"/>
      <c r="AM4" s="584"/>
      <c r="AN4" s="584"/>
      <c r="AO4" s="584"/>
      <c r="AP4" s="584"/>
      <c r="AQ4" s="584"/>
      <c r="AR4" s="584"/>
      <c r="AS4" s="584"/>
      <c r="AT4" s="584"/>
      <c r="AU4" s="584"/>
      <c r="AV4" s="584"/>
    </row>
    <row r="5" spans="1:48" ht="46.5" customHeight="1">
      <c r="B5" s="262" t="s">
        <v>354</v>
      </c>
      <c r="C5" s="578" t="s">
        <v>485</v>
      </c>
      <c r="D5" s="260" t="s">
        <v>232</v>
      </c>
      <c r="E5" s="260" t="s">
        <v>116</v>
      </c>
      <c r="F5" s="260" t="s">
        <v>11</v>
      </c>
      <c r="G5" s="260" t="s">
        <v>0</v>
      </c>
      <c r="H5" s="260" t="s">
        <v>558</v>
      </c>
      <c r="I5" s="657" t="s">
        <v>561</v>
      </c>
      <c r="J5" s="261"/>
      <c r="K5" s="261"/>
      <c r="L5" s="261"/>
      <c r="M5" s="263"/>
    </row>
    <row r="6" spans="1:48" ht="24.75" customHeight="1">
      <c r="B6" s="568">
        <f>+Historico!O3</f>
        <v>41156</v>
      </c>
      <c r="C6" s="655">
        <v>41152</v>
      </c>
      <c r="D6" s="567">
        <f>+F9</f>
        <v>2110.2591538461538</v>
      </c>
      <c r="E6" s="265">
        <f>+J9</f>
        <v>362.63749999999999</v>
      </c>
      <c r="F6" s="654">
        <v>2.61</v>
      </c>
      <c r="G6" s="656">
        <v>208.04809</v>
      </c>
      <c r="H6" s="656">
        <v>207.550522</v>
      </c>
      <c r="I6" s="678" t="s">
        <v>387</v>
      </c>
      <c r="J6" s="261"/>
      <c r="K6" s="261"/>
      <c r="L6" s="261"/>
      <c r="M6" s="263"/>
      <c r="N6" s="585"/>
    </row>
    <row r="7" spans="1:48" ht="18">
      <c r="D7" s="682"/>
      <c r="N7" s="585"/>
    </row>
    <row r="8" spans="1:48">
      <c r="N8" s="585"/>
    </row>
    <row r="9" spans="1:48" ht="18">
      <c r="B9" s="183" t="s">
        <v>235</v>
      </c>
      <c r="C9" s="185" t="s">
        <v>234</v>
      </c>
      <c r="D9" s="185"/>
      <c r="E9" s="186"/>
      <c r="F9" s="264">
        <f>AVERAGE(F12:F63)</f>
        <v>2110.2591538461538</v>
      </c>
      <c r="H9" s="183" t="s">
        <v>233</v>
      </c>
      <c r="I9" s="184" t="s">
        <v>234</v>
      </c>
      <c r="J9" s="264">
        <f>AVERAGE(J13:J24)</f>
        <v>362.63749999999999</v>
      </c>
      <c r="N9" s="585"/>
    </row>
    <row r="10" spans="1:48">
      <c r="G10" s="453"/>
      <c r="N10" s="585"/>
    </row>
    <row r="11" spans="1:48" ht="15">
      <c r="B11" s="188" t="s">
        <v>236</v>
      </c>
      <c r="C11" s="188" t="s">
        <v>237</v>
      </c>
      <c r="D11" s="188" t="s">
        <v>238</v>
      </c>
      <c r="E11" s="188" t="s">
        <v>239</v>
      </c>
      <c r="F11" s="189" t="s">
        <v>117</v>
      </c>
      <c r="J11" s="187" t="s">
        <v>342</v>
      </c>
      <c r="N11" s="585"/>
    </row>
    <row r="12" spans="1:48" ht="15.75">
      <c r="B12" s="192">
        <v>52</v>
      </c>
      <c r="C12" s="193">
        <f>YEAR(E12)</f>
        <v>2011</v>
      </c>
      <c r="D12" s="266">
        <f>+E12</f>
        <v>40760</v>
      </c>
      <c r="E12" s="290">
        <v>40760</v>
      </c>
      <c r="F12" s="398">
        <v>2515.0500000000002</v>
      </c>
      <c r="H12" s="190" t="s">
        <v>240</v>
      </c>
      <c r="I12" s="191" t="s">
        <v>115</v>
      </c>
      <c r="J12" s="187" t="s">
        <v>250</v>
      </c>
      <c r="N12" s="585"/>
    </row>
    <row r="13" spans="1:48" ht="15">
      <c r="B13" s="192">
        <v>51</v>
      </c>
      <c r="C13" s="193">
        <f t="shared" ref="C13:C63" si="0">YEAR(E13)</f>
        <v>2011</v>
      </c>
      <c r="D13" s="266">
        <f t="shared" ref="D13:D63" si="1">+E13</f>
        <v>40767</v>
      </c>
      <c r="E13" s="291">
        <v>40767</v>
      </c>
      <c r="F13" s="398">
        <v>2389.85</v>
      </c>
      <c r="H13" s="191">
        <v>12</v>
      </c>
      <c r="I13" s="259">
        <v>40756</v>
      </c>
      <c r="J13" s="402">
        <v>410.2</v>
      </c>
      <c r="N13" s="585"/>
    </row>
    <row r="14" spans="1:48" ht="15">
      <c r="B14" s="192">
        <v>50</v>
      </c>
      <c r="C14" s="193">
        <f t="shared" si="0"/>
        <v>2011</v>
      </c>
      <c r="D14" s="266">
        <f t="shared" si="1"/>
        <v>40774</v>
      </c>
      <c r="E14" s="291">
        <v>40774</v>
      </c>
      <c r="F14" s="398">
        <v>2342</v>
      </c>
      <c r="H14" s="191">
        <v>11</v>
      </c>
      <c r="I14" s="259">
        <v>40787</v>
      </c>
      <c r="J14" s="402">
        <v>377.15</v>
      </c>
      <c r="N14" s="585"/>
    </row>
    <row r="15" spans="1:48" ht="15.75" thickBot="1">
      <c r="B15" s="296">
        <v>49</v>
      </c>
      <c r="C15" s="297">
        <f t="shared" si="0"/>
        <v>2011</v>
      </c>
      <c r="D15" s="298">
        <f t="shared" si="1"/>
        <v>40781</v>
      </c>
      <c r="E15" s="299">
        <v>40781</v>
      </c>
      <c r="F15" s="399">
        <v>2326.0500000000002</v>
      </c>
      <c r="H15" s="191">
        <v>10</v>
      </c>
      <c r="I15" s="259">
        <v>40817</v>
      </c>
      <c r="J15" s="402">
        <v>333.28</v>
      </c>
      <c r="N15" s="585"/>
    </row>
    <row r="16" spans="1:48" ht="15">
      <c r="B16" s="292">
        <v>48</v>
      </c>
      <c r="C16" s="293">
        <f t="shared" si="0"/>
        <v>2011</v>
      </c>
      <c r="D16" s="294">
        <f t="shared" si="1"/>
        <v>40788</v>
      </c>
      <c r="E16" s="295">
        <v>40788</v>
      </c>
      <c r="F16" s="400">
        <v>2390.8130000000001</v>
      </c>
      <c r="H16" s="191">
        <v>9</v>
      </c>
      <c r="I16" s="259">
        <v>40848</v>
      </c>
      <c r="J16" s="402">
        <v>342.54</v>
      </c>
      <c r="N16" s="585"/>
    </row>
    <row r="17" spans="2:14" ht="15">
      <c r="B17" s="192">
        <v>47</v>
      </c>
      <c r="C17" s="193">
        <f t="shared" si="0"/>
        <v>2011</v>
      </c>
      <c r="D17" s="266">
        <f t="shared" si="1"/>
        <v>40795</v>
      </c>
      <c r="E17" s="258">
        <v>40795</v>
      </c>
      <c r="F17" s="401">
        <v>2354.4</v>
      </c>
      <c r="H17" s="191">
        <v>8</v>
      </c>
      <c r="I17" s="259">
        <v>40878</v>
      </c>
      <c r="J17" s="402">
        <v>343.31</v>
      </c>
      <c r="N17" s="585"/>
    </row>
    <row r="18" spans="2:14" ht="15">
      <c r="B18" s="192">
        <v>46</v>
      </c>
      <c r="C18" s="193">
        <f t="shared" si="0"/>
        <v>2011</v>
      </c>
      <c r="D18" s="266">
        <f t="shared" si="1"/>
        <v>40802</v>
      </c>
      <c r="E18" s="258">
        <v>40802</v>
      </c>
      <c r="F18" s="401">
        <v>2337.25</v>
      </c>
      <c r="H18" s="191">
        <v>7</v>
      </c>
      <c r="I18" s="259">
        <v>40909</v>
      </c>
      <c r="J18" s="402">
        <v>363.84</v>
      </c>
      <c r="N18" s="585"/>
    </row>
    <row r="19" spans="2:14" ht="15">
      <c r="B19" s="192">
        <v>45</v>
      </c>
      <c r="C19" s="193">
        <f t="shared" si="0"/>
        <v>2011</v>
      </c>
      <c r="D19" s="266">
        <f t="shared" si="1"/>
        <v>40809</v>
      </c>
      <c r="E19" s="258">
        <v>40809</v>
      </c>
      <c r="F19" s="401">
        <v>2254.8000000000002</v>
      </c>
      <c r="H19" s="191">
        <v>6</v>
      </c>
      <c r="I19" s="259">
        <v>40940</v>
      </c>
      <c r="J19" s="402">
        <v>382.05</v>
      </c>
      <c r="N19" s="585"/>
    </row>
    <row r="20" spans="2:14" ht="15">
      <c r="B20" s="192">
        <v>44</v>
      </c>
      <c r="C20" s="193">
        <f t="shared" si="0"/>
        <v>2011</v>
      </c>
      <c r="D20" s="266">
        <f t="shared" si="1"/>
        <v>40816</v>
      </c>
      <c r="E20" s="258">
        <v>40816</v>
      </c>
      <c r="F20" s="401">
        <v>2197.1999999999998</v>
      </c>
      <c r="H20" s="191">
        <v>5</v>
      </c>
      <c r="I20" s="259">
        <v>40969</v>
      </c>
      <c r="J20" s="402">
        <v>383.61</v>
      </c>
      <c r="N20" s="585"/>
    </row>
    <row r="21" spans="2:14" ht="15">
      <c r="B21" s="192">
        <v>43</v>
      </c>
      <c r="C21" s="193">
        <f t="shared" si="0"/>
        <v>2011</v>
      </c>
      <c r="D21" s="266">
        <f t="shared" si="1"/>
        <v>40823</v>
      </c>
      <c r="E21" s="258">
        <v>40823</v>
      </c>
      <c r="F21" s="401">
        <v>2146.0500000000002</v>
      </c>
      <c r="H21" s="191">
        <v>4</v>
      </c>
      <c r="I21" s="259">
        <v>41000</v>
      </c>
      <c r="J21" s="402">
        <v>375.11</v>
      </c>
      <c r="N21" s="585"/>
    </row>
    <row r="22" spans="2:14" ht="15">
      <c r="B22" s="192">
        <v>42</v>
      </c>
      <c r="C22" s="193">
        <f t="shared" si="0"/>
        <v>2011</v>
      </c>
      <c r="D22" s="266">
        <f t="shared" si="1"/>
        <v>40830</v>
      </c>
      <c r="E22" s="258">
        <v>40830</v>
      </c>
      <c r="F22" s="401">
        <v>2184.1</v>
      </c>
      <c r="H22" s="191">
        <v>3</v>
      </c>
      <c r="I22" s="259">
        <v>41030</v>
      </c>
      <c r="J22" s="402">
        <v>359.98</v>
      </c>
      <c r="N22" s="585"/>
    </row>
    <row r="23" spans="2:14" ht="15">
      <c r="B23" s="192">
        <v>41</v>
      </c>
      <c r="C23" s="193">
        <f t="shared" si="0"/>
        <v>2011</v>
      </c>
      <c r="D23" s="266">
        <f t="shared" si="1"/>
        <v>40837</v>
      </c>
      <c r="E23" s="258">
        <v>40837</v>
      </c>
      <c r="F23" s="401">
        <v>2153.6999999999998</v>
      </c>
      <c r="H23" s="191">
        <v>2</v>
      </c>
      <c r="I23" s="259">
        <v>41061</v>
      </c>
      <c r="J23" s="402">
        <v>336.33</v>
      </c>
      <c r="N23" s="585"/>
    </row>
    <row r="24" spans="2:14" ht="15">
      <c r="B24" s="192">
        <v>40</v>
      </c>
      <c r="C24" s="193">
        <f t="shared" si="0"/>
        <v>2011</v>
      </c>
      <c r="D24" s="266">
        <f t="shared" si="1"/>
        <v>40844</v>
      </c>
      <c r="E24" s="258">
        <v>40844</v>
      </c>
      <c r="F24" s="401">
        <v>2200.6</v>
      </c>
      <c r="H24" s="191">
        <v>1</v>
      </c>
      <c r="I24" s="425">
        <f>+CONCATENATE(1,"/",IF(MONTH(I23)=12,1,MONTH(I23)+1),"/",IF(MONTH(I23)=12,YEAR(I23)+1,YEAR(I23)))+0</f>
        <v>41091</v>
      </c>
      <c r="J24" s="405">
        <v>344.25</v>
      </c>
      <c r="N24" s="182"/>
    </row>
    <row r="25" spans="2:14" ht="15">
      <c r="B25" s="192">
        <v>39</v>
      </c>
      <c r="C25" s="193">
        <f t="shared" si="0"/>
        <v>2011</v>
      </c>
      <c r="D25" s="266">
        <f t="shared" si="1"/>
        <v>40851</v>
      </c>
      <c r="E25" s="258">
        <v>40851</v>
      </c>
      <c r="F25" s="401">
        <v>2126.9</v>
      </c>
      <c r="I25" s="194"/>
      <c r="N25" s="585"/>
    </row>
    <row r="26" spans="2:14" ht="15">
      <c r="B26" s="192">
        <v>38</v>
      </c>
      <c r="C26" s="193">
        <f t="shared" si="0"/>
        <v>2011</v>
      </c>
      <c r="D26" s="266">
        <f t="shared" si="1"/>
        <v>40858</v>
      </c>
      <c r="E26" s="258">
        <v>40858</v>
      </c>
      <c r="F26" s="401">
        <v>2109.1</v>
      </c>
      <c r="N26" s="585"/>
    </row>
    <row r="27" spans="2:14" ht="15">
      <c r="B27" s="192">
        <v>37</v>
      </c>
      <c r="C27" s="193">
        <f t="shared" si="0"/>
        <v>2011</v>
      </c>
      <c r="D27" s="266">
        <f t="shared" si="1"/>
        <v>40865</v>
      </c>
      <c r="E27" s="258">
        <v>40865</v>
      </c>
      <c r="F27" s="401">
        <v>2105.4499999999998</v>
      </c>
      <c r="H27" s="505" t="s">
        <v>547</v>
      </c>
      <c r="N27" s="585"/>
    </row>
    <row r="28" spans="2:14" ht="15">
      <c r="B28" s="192">
        <v>36</v>
      </c>
      <c r="C28" s="193">
        <f t="shared" si="0"/>
        <v>2011</v>
      </c>
      <c r="D28" s="266">
        <f t="shared" si="1"/>
        <v>40872</v>
      </c>
      <c r="E28" s="258">
        <v>40872</v>
      </c>
      <c r="F28" s="401">
        <v>2023</v>
      </c>
      <c r="N28" s="585"/>
    </row>
    <row r="29" spans="2:14" ht="15">
      <c r="B29" s="192">
        <v>35</v>
      </c>
      <c r="C29" s="193">
        <f t="shared" si="0"/>
        <v>2011</v>
      </c>
      <c r="D29" s="266">
        <f t="shared" si="1"/>
        <v>40879</v>
      </c>
      <c r="E29" s="258">
        <v>40879</v>
      </c>
      <c r="F29" s="401">
        <v>2043.25</v>
      </c>
      <c r="N29" s="585"/>
    </row>
    <row r="30" spans="2:14" ht="15">
      <c r="B30" s="192">
        <v>34</v>
      </c>
      <c r="C30" s="193">
        <f t="shared" si="0"/>
        <v>2011</v>
      </c>
      <c r="D30" s="266">
        <f t="shared" si="1"/>
        <v>40886</v>
      </c>
      <c r="E30" s="258">
        <v>40886</v>
      </c>
      <c r="F30" s="401">
        <v>2087.15</v>
      </c>
      <c r="N30" s="585"/>
    </row>
    <row r="31" spans="2:14" ht="15">
      <c r="B31" s="192">
        <v>33</v>
      </c>
      <c r="C31" s="193">
        <f t="shared" si="0"/>
        <v>2011</v>
      </c>
      <c r="D31" s="266">
        <f t="shared" si="1"/>
        <v>40893</v>
      </c>
      <c r="E31" s="258">
        <v>40893</v>
      </c>
      <c r="F31" s="401">
        <v>2001.6</v>
      </c>
    </row>
    <row r="32" spans="2:14" ht="15">
      <c r="B32" s="192">
        <v>32</v>
      </c>
      <c r="C32" s="193">
        <f t="shared" si="0"/>
        <v>2011</v>
      </c>
      <c r="D32" s="266">
        <f t="shared" si="1"/>
        <v>40900</v>
      </c>
      <c r="E32" s="258">
        <v>40900</v>
      </c>
      <c r="F32" s="401">
        <v>1965.4</v>
      </c>
    </row>
    <row r="33" spans="2:46" ht="15">
      <c r="B33" s="192">
        <v>31</v>
      </c>
      <c r="C33" s="193">
        <f t="shared" si="0"/>
        <v>2011</v>
      </c>
      <c r="D33" s="266">
        <f t="shared" si="1"/>
        <v>40907</v>
      </c>
      <c r="E33" s="258">
        <v>40907</v>
      </c>
      <c r="F33" s="401">
        <v>1972</v>
      </c>
    </row>
    <row r="34" spans="2:46" ht="15">
      <c r="B34" s="192">
        <v>30</v>
      </c>
      <c r="C34" s="193">
        <f t="shared" si="0"/>
        <v>2012</v>
      </c>
      <c r="D34" s="266">
        <f t="shared" si="1"/>
        <v>40914</v>
      </c>
      <c r="E34" s="258">
        <v>40914</v>
      </c>
      <c r="F34" s="401">
        <v>2020</v>
      </c>
    </row>
    <row r="35" spans="2:46" ht="15">
      <c r="B35" s="192">
        <v>29</v>
      </c>
      <c r="C35" s="193">
        <f t="shared" si="0"/>
        <v>2012</v>
      </c>
      <c r="D35" s="266">
        <f t="shared" si="1"/>
        <v>40921</v>
      </c>
      <c r="E35" s="258">
        <v>40921</v>
      </c>
      <c r="F35" s="401">
        <v>2120</v>
      </c>
    </row>
    <row r="36" spans="2:46" ht="18">
      <c r="B36" s="192">
        <v>28</v>
      </c>
      <c r="C36" s="193">
        <f t="shared" si="0"/>
        <v>2012</v>
      </c>
      <c r="D36" s="266">
        <f t="shared" si="1"/>
        <v>40928</v>
      </c>
      <c r="E36" s="258">
        <v>40928</v>
      </c>
      <c r="F36" s="401">
        <v>2166.1</v>
      </c>
      <c r="AG36" s="588" t="s">
        <v>582</v>
      </c>
      <c r="AH36" s="589"/>
      <c r="AI36" s="589"/>
      <c r="AJ36" s="589"/>
      <c r="AK36" s="589"/>
      <c r="AL36" s="589"/>
      <c r="AM36" s="589"/>
      <c r="AN36" s="589"/>
      <c r="AO36" s="588" t="s">
        <v>583</v>
      </c>
      <c r="AP36" s="589"/>
      <c r="AQ36" s="589"/>
      <c r="AR36" s="589"/>
      <c r="AS36" s="589"/>
      <c r="AT36" s="589"/>
    </row>
    <row r="37" spans="2:46" ht="15">
      <c r="B37" s="192">
        <v>27</v>
      </c>
      <c r="C37" s="193">
        <f t="shared" si="0"/>
        <v>2012</v>
      </c>
      <c r="D37" s="266">
        <f t="shared" si="1"/>
        <v>40935</v>
      </c>
      <c r="E37" s="258">
        <v>40935</v>
      </c>
      <c r="F37" s="401">
        <v>2208.4499999999998</v>
      </c>
    </row>
    <row r="38" spans="2:46" ht="15">
      <c r="B38" s="192">
        <v>26</v>
      </c>
      <c r="C38" s="193">
        <f t="shared" si="0"/>
        <v>2012</v>
      </c>
      <c r="D38" s="266">
        <f t="shared" si="1"/>
        <v>40942</v>
      </c>
      <c r="E38" s="258">
        <v>40942</v>
      </c>
      <c r="F38" s="401">
        <v>2209.15</v>
      </c>
    </row>
    <row r="39" spans="2:46" ht="15">
      <c r="B39" s="192">
        <v>25</v>
      </c>
      <c r="C39" s="193">
        <f t="shared" si="0"/>
        <v>2012</v>
      </c>
      <c r="D39" s="266">
        <f t="shared" si="1"/>
        <v>40949</v>
      </c>
      <c r="E39" s="258">
        <v>40949</v>
      </c>
      <c r="F39" s="401">
        <v>2206.9</v>
      </c>
    </row>
    <row r="40" spans="2:46" ht="15">
      <c r="B40" s="192">
        <v>24</v>
      </c>
      <c r="C40" s="193">
        <f t="shared" si="0"/>
        <v>2012</v>
      </c>
      <c r="D40" s="266">
        <f t="shared" si="1"/>
        <v>40956</v>
      </c>
      <c r="E40" s="258">
        <v>40956</v>
      </c>
      <c r="F40" s="401">
        <v>2157.5500000000002</v>
      </c>
    </row>
    <row r="41" spans="2:46" ht="15">
      <c r="B41" s="192">
        <v>23</v>
      </c>
      <c r="C41" s="193">
        <f t="shared" si="0"/>
        <v>2012</v>
      </c>
      <c r="D41" s="266">
        <f t="shared" si="1"/>
        <v>40963</v>
      </c>
      <c r="E41" s="258">
        <v>40963</v>
      </c>
      <c r="F41" s="401">
        <v>2199.65</v>
      </c>
    </row>
    <row r="42" spans="2:46" ht="15">
      <c r="B42" s="192">
        <v>22</v>
      </c>
      <c r="C42" s="193">
        <f t="shared" si="0"/>
        <v>2012</v>
      </c>
      <c r="D42" s="266">
        <f t="shared" si="1"/>
        <v>40970</v>
      </c>
      <c r="E42" s="258">
        <v>40970</v>
      </c>
      <c r="F42" s="401">
        <v>2291.9</v>
      </c>
    </row>
    <row r="43" spans="2:46" ht="15">
      <c r="B43" s="192">
        <v>21</v>
      </c>
      <c r="C43" s="193">
        <f t="shared" si="0"/>
        <v>2012</v>
      </c>
      <c r="D43" s="266">
        <f t="shared" si="1"/>
        <v>40977</v>
      </c>
      <c r="E43" s="258">
        <v>40977</v>
      </c>
      <c r="F43" s="401">
        <v>2194.5</v>
      </c>
    </row>
    <row r="44" spans="2:46" ht="15">
      <c r="B44" s="192">
        <v>20</v>
      </c>
      <c r="C44" s="193">
        <f t="shared" si="0"/>
        <v>2012</v>
      </c>
      <c r="D44" s="266">
        <f t="shared" si="1"/>
        <v>40984</v>
      </c>
      <c r="E44" s="258">
        <v>40984</v>
      </c>
      <c r="F44" s="401">
        <v>2193.4</v>
      </c>
    </row>
    <row r="45" spans="2:46" ht="15">
      <c r="B45" s="192">
        <v>19</v>
      </c>
      <c r="C45" s="193">
        <f t="shared" si="0"/>
        <v>2012</v>
      </c>
      <c r="D45" s="266">
        <f t="shared" si="1"/>
        <v>40991</v>
      </c>
      <c r="E45" s="258">
        <v>40991</v>
      </c>
      <c r="F45" s="401">
        <v>2176.25</v>
      </c>
    </row>
    <row r="46" spans="2:46" ht="15">
      <c r="B46" s="192">
        <v>18</v>
      </c>
      <c r="C46" s="193">
        <f t="shared" si="0"/>
        <v>2012</v>
      </c>
      <c r="D46" s="266">
        <f t="shared" si="1"/>
        <v>40998</v>
      </c>
      <c r="E46" s="258">
        <v>40998</v>
      </c>
      <c r="F46" s="401">
        <v>2122.5</v>
      </c>
    </row>
    <row r="47" spans="2:46" ht="15">
      <c r="B47" s="192">
        <v>17</v>
      </c>
      <c r="C47" s="193">
        <f t="shared" si="0"/>
        <v>2012</v>
      </c>
      <c r="D47" s="266">
        <f t="shared" si="1"/>
        <v>41005</v>
      </c>
      <c r="E47" s="258">
        <v>41005</v>
      </c>
      <c r="F47" s="401">
        <v>2071.125</v>
      </c>
    </row>
    <row r="48" spans="2:46" ht="15">
      <c r="B48" s="192">
        <v>16</v>
      </c>
      <c r="C48" s="193">
        <f t="shared" si="0"/>
        <v>2012</v>
      </c>
      <c r="D48" s="266">
        <f t="shared" si="1"/>
        <v>41012</v>
      </c>
      <c r="E48" s="258">
        <v>41012</v>
      </c>
      <c r="F48" s="401">
        <v>2050.3130000000001</v>
      </c>
    </row>
    <row r="49" spans="2:6" ht="15">
      <c r="B49" s="192">
        <v>15</v>
      </c>
      <c r="C49" s="193">
        <f t="shared" si="0"/>
        <v>2012</v>
      </c>
      <c r="D49" s="266">
        <f t="shared" si="1"/>
        <v>41019</v>
      </c>
      <c r="E49" s="258">
        <v>41019</v>
      </c>
      <c r="F49" s="401">
        <v>2029.1</v>
      </c>
    </row>
    <row r="50" spans="2:6" ht="15">
      <c r="B50" s="192">
        <v>14</v>
      </c>
      <c r="C50" s="193">
        <f t="shared" si="0"/>
        <v>2012</v>
      </c>
      <c r="D50" s="266">
        <f t="shared" si="1"/>
        <v>41026</v>
      </c>
      <c r="E50" s="258">
        <v>41026</v>
      </c>
      <c r="F50" s="401">
        <v>2037.75</v>
      </c>
    </row>
    <row r="51" spans="2:6" ht="15">
      <c r="B51" s="192">
        <v>13</v>
      </c>
      <c r="C51" s="193">
        <f t="shared" si="0"/>
        <v>2012</v>
      </c>
      <c r="D51" s="266">
        <f t="shared" si="1"/>
        <v>41033</v>
      </c>
      <c r="E51" s="258">
        <v>41033</v>
      </c>
      <c r="F51" s="401">
        <v>2056.65</v>
      </c>
    </row>
    <row r="52" spans="2:6" ht="15">
      <c r="B52" s="192">
        <v>12</v>
      </c>
      <c r="C52" s="193">
        <f t="shared" si="0"/>
        <v>2012</v>
      </c>
      <c r="D52" s="266">
        <f t="shared" si="1"/>
        <v>41040</v>
      </c>
      <c r="E52" s="258">
        <v>41040</v>
      </c>
      <c r="F52" s="401">
        <v>2001.875</v>
      </c>
    </row>
    <row r="53" spans="2:6" ht="15">
      <c r="B53" s="192">
        <v>11</v>
      </c>
      <c r="C53" s="193">
        <f t="shared" si="0"/>
        <v>2012</v>
      </c>
      <c r="D53" s="266">
        <f t="shared" si="1"/>
        <v>41047</v>
      </c>
      <c r="E53" s="258">
        <v>41047</v>
      </c>
      <c r="F53" s="401">
        <v>1991.55</v>
      </c>
    </row>
    <row r="54" spans="2:6" ht="15">
      <c r="B54" s="192">
        <v>10</v>
      </c>
      <c r="C54" s="193">
        <f t="shared" si="0"/>
        <v>2012</v>
      </c>
      <c r="D54" s="266">
        <f t="shared" si="1"/>
        <v>41054</v>
      </c>
      <c r="E54" s="258">
        <v>41054</v>
      </c>
      <c r="F54" s="401">
        <v>1984.5</v>
      </c>
    </row>
    <row r="55" spans="2:6" ht="15">
      <c r="B55" s="192">
        <v>9</v>
      </c>
      <c r="C55" s="193">
        <f t="shared" si="0"/>
        <v>2012</v>
      </c>
      <c r="D55" s="266">
        <f t="shared" si="1"/>
        <v>41061</v>
      </c>
      <c r="E55" s="258">
        <v>41061</v>
      </c>
      <c r="F55" s="398">
        <v>1965.3</v>
      </c>
    </row>
    <row r="56" spans="2:6" ht="15">
      <c r="B56" s="192">
        <v>8</v>
      </c>
      <c r="C56" s="193">
        <f t="shared" si="0"/>
        <v>2012</v>
      </c>
      <c r="D56" s="266">
        <f t="shared" si="1"/>
        <v>41068</v>
      </c>
      <c r="E56" s="258">
        <v>41068</v>
      </c>
      <c r="F56" s="398">
        <v>1943.25</v>
      </c>
    </row>
    <row r="57" spans="2:6" ht="15">
      <c r="B57" s="192">
        <v>7</v>
      </c>
      <c r="C57" s="193">
        <f t="shared" si="0"/>
        <v>2012</v>
      </c>
      <c r="D57" s="266">
        <f t="shared" si="1"/>
        <v>41075</v>
      </c>
      <c r="E57" s="258">
        <v>41075</v>
      </c>
      <c r="F57" s="398">
        <v>1926.25</v>
      </c>
    </row>
    <row r="58" spans="2:6" ht="15">
      <c r="B58" s="192">
        <v>6</v>
      </c>
      <c r="C58" s="193">
        <f t="shared" si="0"/>
        <v>2012</v>
      </c>
      <c r="D58" s="266">
        <f t="shared" si="1"/>
        <v>41082</v>
      </c>
      <c r="E58" s="258">
        <v>41082</v>
      </c>
      <c r="F58" s="398">
        <v>1860.85</v>
      </c>
    </row>
    <row r="59" spans="2:6" ht="15.75" thickBot="1">
      <c r="B59" s="301">
        <v>5</v>
      </c>
      <c r="C59" s="302">
        <f t="shared" si="0"/>
        <v>2012</v>
      </c>
      <c r="D59" s="303">
        <f t="shared" si="1"/>
        <v>41089</v>
      </c>
      <c r="E59" s="304">
        <v>41089</v>
      </c>
      <c r="F59" s="426">
        <v>1820.75</v>
      </c>
    </row>
    <row r="60" spans="2:6" ht="15">
      <c r="B60" s="292">
        <v>4</v>
      </c>
      <c r="C60" s="293">
        <f t="shared" si="0"/>
        <v>2012</v>
      </c>
      <c r="D60" s="294">
        <f t="shared" si="1"/>
        <v>41096</v>
      </c>
      <c r="E60" s="300">
        <f t="shared" ref="E60:E62" si="2">+E59+7</f>
        <v>41096</v>
      </c>
      <c r="F60" s="403">
        <v>1901.75</v>
      </c>
    </row>
    <row r="61" spans="2:6" ht="15">
      <c r="B61" s="192">
        <v>3</v>
      </c>
      <c r="C61" s="193">
        <f t="shared" si="0"/>
        <v>2012</v>
      </c>
      <c r="D61" s="266">
        <f>+E61</f>
        <v>41103</v>
      </c>
      <c r="E61" s="258">
        <f t="shared" si="2"/>
        <v>41103</v>
      </c>
      <c r="F61" s="404">
        <v>1866.9</v>
      </c>
    </row>
    <row r="62" spans="2:6" ht="15">
      <c r="B62" s="192">
        <v>2</v>
      </c>
      <c r="C62" s="193">
        <f>YEAR(E62)</f>
        <v>2012</v>
      </c>
      <c r="D62" s="266">
        <f t="shared" si="1"/>
        <v>41110</v>
      </c>
      <c r="E62" s="258">
        <f t="shared" si="2"/>
        <v>41110</v>
      </c>
      <c r="F62" s="404">
        <v>1884.2</v>
      </c>
    </row>
    <row r="63" spans="2:6" ht="15">
      <c r="B63" s="192">
        <v>1</v>
      </c>
      <c r="C63" s="193">
        <f t="shared" si="0"/>
        <v>2012</v>
      </c>
      <c r="D63" s="266">
        <f t="shared" si="1"/>
        <v>41117</v>
      </c>
      <c r="E63" s="258">
        <f>+E62+7</f>
        <v>41117</v>
      </c>
      <c r="F63" s="404">
        <v>1849.3</v>
      </c>
    </row>
    <row r="64" spans="2:6">
      <c r="E64" s="243"/>
    </row>
    <row r="65" spans="2:49">
      <c r="B65" s="183"/>
    </row>
    <row r="71" spans="2:49" ht="18">
      <c r="AG71" s="588" t="s">
        <v>559</v>
      </c>
      <c r="AH71" s="589"/>
      <c r="AI71" s="589"/>
      <c r="AJ71" s="589"/>
      <c r="AK71" s="589"/>
      <c r="AL71" s="589"/>
      <c r="AM71" s="589"/>
      <c r="AN71" s="589"/>
      <c r="AO71" s="588" t="s">
        <v>560</v>
      </c>
      <c r="AP71" s="589"/>
      <c r="AQ71" s="589"/>
      <c r="AR71" s="589"/>
      <c r="AS71" s="589"/>
      <c r="AT71" s="589"/>
    </row>
    <row r="77" spans="2:49">
      <c r="AW77" s="584"/>
    </row>
    <row r="78" spans="2:49">
      <c r="AW78" s="584"/>
    </row>
    <row r="79" spans="2:49">
      <c r="AW79" s="584"/>
    </row>
    <row r="80" spans="2:49">
      <c r="AW80" s="584"/>
    </row>
  </sheetData>
  <phoneticPr fontId="15" type="noConversion"/>
  <hyperlinks>
    <hyperlink ref="M8" r:id="rId1" display="http://srvapp05.osinerg.gob.pe/portal/server.pt/gateway/PTARGS_0_2590222_0_0_18/000333_Reg_001285_Platts_Metals_Week.pdf"/>
    <hyperlink ref="F10" r:id="rId2" display="http://srvapp05.osinerg.gob.pe/portal/server.pt/gateway/PTARGS_0_2599695_0_0_18/000333_Reg_001515_Platts_Metals_Week.pdf"/>
    <hyperlink ref="O4" r:id="rId3"/>
    <hyperlink ref="H27" r:id="rId4"/>
  </hyperlinks>
  <printOptions horizontalCentered="1"/>
  <pageMargins left="0.55118110236220474" right="0.43307086614173229" top="0.42" bottom="0.27" header="0" footer="0"/>
  <pageSetup paperSize="9" scale="54" orientation="landscape" horizontalDpi="1200" verticalDpi="1200" r:id="rId5"/>
  <headerFooter alignWithMargins="0"/>
  <drawing r:id="rId6"/>
  <legacyDrawing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pageSetUpPr fitToPage="1"/>
  </sheetPr>
  <dimension ref="A1:AN229"/>
  <sheetViews>
    <sheetView showGridLines="0" zoomScaleNormal="100" workbookViewId="0">
      <selection activeCell="C7" sqref="C7:D7"/>
    </sheetView>
  </sheetViews>
  <sheetFormatPr baseColWidth="10" defaultColWidth="8.88671875" defaultRowHeight="12.75"/>
  <cols>
    <col min="1" max="1" width="38" style="182" customWidth="1"/>
    <col min="2" max="2" width="15.77734375" style="182" customWidth="1"/>
    <col min="3" max="4" width="14.88671875" style="182" customWidth="1"/>
    <col min="5" max="6" width="14.21875" style="182" customWidth="1"/>
    <col min="7" max="7" width="13.109375" style="182" customWidth="1"/>
    <col min="8" max="10" width="11.6640625" style="182" customWidth="1"/>
    <col min="11" max="11" width="5.109375" style="182" customWidth="1"/>
    <col min="12" max="13" width="14.44140625" style="182" customWidth="1"/>
    <col min="14" max="17" width="8.88671875" style="182"/>
    <col min="18" max="18" width="9.21875" style="182" customWidth="1"/>
    <col min="19" max="24" width="8.88671875" style="182"/>
    <col min="25" max="26" width="8.88671875" style="584"/>
    <col min="27" max="16384" width="8.88671875" style="182"/>
  </cols>
  <sheetData>
    <row r="1" spans="1:40" ht="26.25">
      <c r="A1" s="522" t="s">
        <v>467</v>
      </c>
      <c r="B1" s="523"/>
      <c r="C1" s="523"/>
      <c r="D1" s="523"/>
      <c r="E1" s="523"/>
      <c r="F1" s="523"/>
      <c r="G1" s="523"/>
      <c r="H1" s="523"/>
      <c r="I1" s="523"/>
      <c r="J1" s="523"/>
      <c r="K1" s="523"/>
      <c r="L1" s="523"/>
      <c r="M1" s="523"/>
      <c r="N1" s="523"/>
      <c r="O1" s="523"/>
      <c r="P1" s="523"/>
      <c r="Q1" s="523"/>
      <c r="R1" s="523"/>
      <c r="Y1" s="182"/>
      <c r="Z1" s="182"/>
    </row>
    <row r="2" spans="1:40" ht="18">
      <c r="A2" s="523"/>
      <c r="B2" s="523"/>
      <c r="S2" s="546"/>
      <c r="T2" s="546"/>
      <c r="U2" s="546"/>
      <c r="V2" s="546"/>
      <c r="W2" s="546"/>
      <c r="X2" s="546"/>
      <c r="Y2" s="546"/>
      <c r="Z2" s="546"/>
      <c r="AA2" s="546"/>
      <c r="AB2" s="546"/>
      <c r="AC2" s="546"/>
      <c r="AD2" s="546"/>
      <c r="AE2" s="546"/>
      <c r="AF2" s="546"/>
      <c r="AG2" s="546"/>
      <c r="AH2" s="546"/>
      <c r="AI2" s="546"/>
      <c r="AJ2" s="546"/>
      <c r="AK2" s="546"/>
      <c r="AL2" s="546"/>
      <c r="AM2" s="546"/>
      <c r="AN2" s="546"/>
    </row>
    <row r="3" spans="1:40">
      <c r="A3" s="523"/>
      <c r="B3" s="523"/>
      <c r="Y3" s="182"/>
      <c r="Z3" s="182"/>
    </row>
    <row r="4" spans="1:40" s="546" customFormat="1" ht="18">
      <c r="A4" s="523"/>
      <c r="B4" s="523"/>
      <c r="L4" s="182"/>
      <c r="M4" s="182"/>
      <c r="N4" s="182"/>
      <c r="O4" s="182"/>
      <c r="P4" s="182"/>
      <c r="Q4" s="182"/>
      <c r="R4" s="182"/>
    </row>
    <row r="5" spans="1:40" s="546" customFormat="1" ht="18">
      <c r="A5" s="523"/>
      <c r="B5" s="523"/>
      <c r="E5" s="729" t="s">
        <v>241</v>
      </c>
      <c r="F5" s="730"/>
      <c r="G5" s="730"/>
      <c r="H5" s="731"/>
    </row>
    <row r="6" spans="1:40" s="546" customFormat="1" ht="18" customHeight="1">
      <c r="C6" s="718" t="s">
        <v>114</v>
      </c>
      <c r="D6" s="718"/>
      <c r="E6" s="732" t="s">
        <v>78</v>
      </c>
      <c r="F6" s="733"/>
      <c r="G6" s="732" t="s">
        <v>79</v>
      </c>
      <c r="H6" s="733"/>
      <c r="I6" s="720" t="s">
        <v>446</v>
      </c>
      <c r="J6" s="726"/>
      <c r="N6" s="720" t="s">
        <v>113</v>
      </c>
      <c r="O6" s="721"/>
      <c r="P6" s="721"/>
      <c r="Q6" s="722"/>
    </row>
    <row r="7" spans="1:40" s="546" customFormat="1" ht="18">
      <c r="A7" s="579"/>
      <c r="B7" s="580" t="s">
        <v>484</v>
      </c>
      <c r="C7" s="719">
        <v>41151</v>
      </c>
      <c r="D7" s="719"/>
      <c r="E7" s="734"/>
      <c r="F7" s="735"/>
      <c r="G7" s="734"/>
      <c r="H7" s="735"/>
      <c r="I7" s="727"/>
      <c r="J7" s="728"/>
      <c r="L7" s="579"/>
      <c r="M7" s="580" t="s">
        <v>484</v>
      </c>
      <c r="N7" s="723">
        <v>41152</v>
      </c>
      <c r="O7" s="724"/>
      <c r="P7" s="724"/>
      <c r="Q7" s="725"/>
    </row>
    <row r="8" spans="1:40" s="546" customFormat="1" ht="54">
      <c r="A8" s="549" t="s">
        <v>5</v>
      </c>
      <c r="B8" s="550" t="s">
        <v>66</v>
      </c>
      <c r="C8" s="551" t="s">
        <v>350</v>
      </c>
      <c r="D8" s="551" t="s">
        <v>68</v>
      </c>
      <c r="E8" s="551" t="s">
        <v>350</v>
      </c>
      <c r="F8" s="551" t="s">
        <v>68</v>
      </c>
      <c r="G8" s="552" t="s">
        <v>82</v>
      </c>
      <c r="H8" s="551" t="s">
        <v>71</v>
      </c>
      <c r="I8" s="551" t="s">
        <v>350</v>
      </c>
      <c r="J8" s="551" t="s">
        <v>68</v>
      </c>
      <c r="L8" s="549" t="s">
        <v>5</v>
      </c>
      <c r="M8" s="550" t="s">
        <v>66</v>
      </c>
      <c r="N8" s="551" t="s">
        <v>350</v>
      </c>
      <c r="O8" s="551" t="s">
        <v>68</v>
      </c>
      <c r="P8" s="564" t="s">
        <v>64</v>
      </c>
      <c r="Q8" s="551" t="s">
        <v>487</v>
      </c>
      <c r="R8" s="551" t="s">
        <v>63</v>
      </c>
    </row>
    <row r="9" spans="1:40" s="546" customFormat="1" ht="18">
      <c r="A9" s="553" t="s">
        <v>33</v>
      </c>
      <c r="B9" s="554" t="s">
        <v>72</v>
      </c>
      <c r="C9" s="659">
        <v>9.44</v>
      </c>
      <c r="D9" s="556">
        <v>6.87</v>
      </c>
      <c r="E9" s="586">
        <f>MIN(N9,C9)</f>
        <v>8.7899999999999991</v>
      </c>
      <c r="F9" s="586">
        <f t="shared" ref="F9" si="0">MIN(O9,D9)</f>
        <v>6.5</v>
      </c>
      <c r="G9" s="667">
        <v>1.01</v>
      </c>
      <c r="H9" s="559">
        <v>0.39</v>
      </c>
      <c r="I9" s="557">
        <f t="shared" ref="I9:J13" si="1">+E9+G9</f>
        <v>9.7999999999999989</v>
      </c>
      <c r="J9" s="557">
        <f t="shared" si="1"/>
        <v>6.89</v>
      </c>
      <c r="K9" s="546" t="s">
        <v>570</v>
      </c>
      <c r="L9" s="553" t="s">
        <v>33</v>
      </c>
      <c r="M9" s="554" t="s">
        <v>72</v>
      </c>
      <c r="N9" s="658">
        <v>8.7899999999999991</v>
      </c>
      <c r="O9" s="641">
        <v>6.5</v>
      </c>
      <c r="P9" s="548">
        <v>113.45</v>
      </c>
      <c r="Q9" s="590">
        <v>2.4918</v>
      </c>
      <c r="R9" s="547">
        <f>ROUND(Q9*'IPM-TC-COBRE-ALUMINIO'!F6,3)</f>
        <v>6.5039999999999996</v>
      </c>
      <c r="Y9" s="254"/>
      <c r="Z9" s="254"/>
    </row>
    <row r="10" spans="1:40" s="546" customFormat="1" ht="18">
      <c r="A10" s="553" t="s">
        <v>39</v>
      </c>
      <c r="B10" s="554" t="s">
        <v>76</v>
      </c>
      <c r="C10" s="555">
        <v>9.19</v>
      </c>
      <c r="D10" s="560"/>
      <c r="E10" s="557">
        <f>C10</f>
        <v>9.19</v>
      </c>
      <c r="F10" s="557"/>
      <c r="G10" s="558">
        <v>1.2</v>
      </c>
      <c r="H10" s="560"/>
      <c r="I10" s="557">
        <f t="shared" si="1"/>
        <v>10.389999999999999</v>
      </c>
      <c r="J10" s="557">
        <f t="shared" si="1"/>
        <v>0</v>
      </c>
      <c r="Y10" s="254"/>
      <c r="Z10" s="254"/>
    </row>
    <row r="11" spans="1:40" s="546" customFormat="1" ht="18">
      <c r="A11" s="553" t="s">
        <v>36</v>
      </c>
      <c r="B11" s="554" t="s">
        <v>74</v>
      </c>
      <c r="C11" s="555">
        <v>9.69</v>
      </c>
      <c r="D11" s="556">
        <v>7.81</v>
      </c>
      <c r="E11" s="557">
        <f>C11</f>
        <v>9.69</v>
      </c>
      <c r="F11" s="557">
        <f>D11</f>
        <v>7.81</v>
      </c>
      <c r="G11" s="561">
        <v>0</v>
      </c>
      <c r="H11" s="562">
        <v>0</v>
      </c>
      <c r="I11" s="557">
        <f t="shared" si="1"/>
        <v>9.69</v>
      </c>
      <c r="J11" s="557">
        <f t="shared" si="1"/>
        <v>7.81</v>
      </c>
      <c r="Y11" s="254"/>
      <c r="Z11" s="254"/>
    </row>
    <row r="12" spans="1:40" s="546" customFormat="1" ht="18">
      <c r="A12" s="553" t="s">
        <v>75</v>
      </c>
      <c r="B12" s="554" t="s">
        <v>76</v>
      </c>
      <c r="C12" s="563">
        <f>+C10</f>
        <v>9.19</v>
      </c>
      <c r="D12" s="560"/>
      <c r="E12" s="557">
        <f>C12</f>
        <v>9.19</v>
      </c>
      <c r="F12" s="557"/>
      <c r="G12" s="558">
        <v>1.2</v>
      </c>
      <c r="H12" s="560"/>
      <c r="I12" s="557">
        <f t="shared" si="1"/>
        <v>10.389999999999999</v>
      </c>
      <c r="J12" s="557">
        <f t="shared" si="1"/>
        <v>0</v>
      </c>
      <c r="Y12" s="254"/>
      <c r="Z12" s="254"/>
    </row>
    <row r="13" spans="1:40" s="546" customFormat="1" ht="18">
      <c r="A13" s="553" t="s">
        <v>37</v>
      </c>
      <c r="B13" s="554" t="s">
        <v>77</v>
      </c>
      <c r="C13" s="555">
        <v>9.8800000000000008</v>
      </c>
      <c r="D13" s="560"/>
      <c r="E13" s="557">
        <f>C13</f>
        <v>9.8800000000000008</v>
      </c>
      <c r="F13" s="557"/>
      <c r="G13" s="558">
        <v>1.01</v>
      </c>
      <c r="H13" s="560"/>
      <c r="I13" s="557">
        <f t="shared" si="1"/>
        <v>10.89</v>
      </c>
      <c r="J13" s="557">
        <f t="shared" si="1"/>
        <v>0</v>
      </c>
      <c r="K13" s="546" t="s">
        <v>570</v>
      </c>
      <c r="Y13" s="254"/>
      <c r="Z13" s="254"/>
    </row>
    <row r="14" spans="1:40" s="546" customFormat="1" ht="18">
      <c r="A14" s="668" t="s">
        <v>584</v>
      </c>
      <c r="B14" s="182"/>
      <c r="C14" s="182"/>
      <c r="D14" s="182"/>
      <c r="E14" s="182"/>
      <c r="F14" s="182"/>
      <c r="G14" s="182"/>
      <c r="H14" s="182"/>
      <c r="I14" s="182"/>
      <c r="J14" s="182"/>
      <c r="Y14" s="254"/>
      <c r="Z14" s="254"/>
    </row>
    <row r="15" spans="1:40" s="584" customFormat="1" ht="18">
      <c r="A15" s="505" t="s">
        <v>548</v>
      </c>
      <c r="C15" s="680" t="s">
        <v>588</v>
      </c>
      <c r="D15" s="681"/>
      <c r="E15" s="681"/>
      <c r="F15" s="679"/>
      <c r="I15" s="546"/>
      <c r="J15" s="546"/>
      <c r="K15" s="182"/>
      <c r="L15" s="182"/>
      <c r="M15" s="182"/>
      <c r="N15" s="182"/>
      <c r="O15" s="182"/>
      <c r="P15" s="182"/>
      <c r="Q15" s="182"/>
      <c r="R15" s="182"/>
      <c r="Y15" s="254"/>
      <c r="Z15" s="254"/>
    </row>
    <row r="16" spans="1:40" s="584" customFormat="1" ht="18">
      <c r="I16" s="546"/>
      <c r="J16" s="546"/>
      <c r="Y16" s="254"/>
      <c r="Z16" s="254"/>
    </row>
    <row r="17" spans="9:26" s="584" customFormat="1" ht="18">
      <c r="I17" s="546"/>
      <c r="J17" s="546"/>
      <c r="Y17" s="254"/>
      <c r="Z17" s="254"/>
    </row>
    <row r="18" spans="9:26" s="584" customFormat="1">
      <c r="Y18" s="254"/>
      <c r="Z18" s="254"/>
    </row>
    <row r="19" spans="9:26" s="584" customFormat="1">
      <c r="Y19" s="254"/>
      <c r="Z19" s="254"/>
    </row>
    <row r="20" spans="9:26" s="584" customFormat="1">
      <c r="Y20" s="254"/>
      <c r="Z20" s="254"/>
    </row>
    <row r="21" spans="9:26" s="584" customFormat="1">
      <c r="Y21" s="254"/>
      <c r="Z21" s="254"/>
    </row>
    <row r="22" spans="9:26" s="584" customFormat="1">
      <c r="Y22" s="254"/>
      <c r="Z22" s="254"/>
    </row>
    <row r="23" spans="9:26" s="584" customFormat="1">
      <c r="Y23" s="254"/>
      <c r="Z23" s="254"/>
    </row>
    <row r="24" spans="9:26" s="584" customFormat="1">
      <c r="Y24" s="254"/>
      <c r="Z24" s="254"/>
    </row>
    <row r="25" spans="9:26" s="584" customFormat="1">
      <c r="Y25" s="254"/>
      <c r="Z25" s="254"/>
    </row>
    <row r="26" spans="9:26" s="584" customFormat="1">
      <c r="Y26" s="254"/>
      <c r="Z26" s="254"/>
    </row>
    <row r="27" spans="9:26" s="584" customFormat="1">
      <c r="Y27" s="254"/>
      <c r="Z27" s="254"/>
    </row>
    <row r="28" spans="9:26" s="584" customFormat="1">
      <c r="Y28" s="254"/>
      <c r="Z28" s="254"/>
    </row>
    <row r="29" spans="9:26" s="584" customFormat="1">
      <c r="Y29" s="254"/>
      <c r="Z29" s="254"/>
    </row>
    <row r="30" spans="9:26" s="584" customFormat="1">
      <c r="Y30" s="254"/>
      <c r="Z30" s="254"/>
    </row>
    <row r="31" spans="9:26" s="584" customFormat="1">
      <c r="Y31" s="254"/>
      <c r="Z31" s="254"/>
    </row>
    <row r="32" spans="9:26" s="584" customFormat="1">
      <c r="Y32" s="254"/>
      <c r="Z32" s="254"/>
    </row>
    <row r="33" spans="25:26" s="584" customFormat="1">
      <c r="Y33" s="254"/>
      <c r="Z33" s="254"/>
    </row>
    <row r="34" spans="25:26" s="584" customFormat="1">
      <c r="Y34" s="254"/>
      <c r="Z34" s="254"/>
    </row>
    <row r="35" spans="25:26" s="584" customFormat="1">
      <c r="Y35" s="254"/>
      <c r="Z35" s="254"/>
    </row>
    <row r="36" spans="25:26" s="584" customFormat="1">
      <c r="Y36" s="254"/>
      <c r="Z36" s="254"/>
    </row>
    <row r="37" spans="25:26" s="584" customFormat="1">
      <c r="Y37" s="254"/>
      <c r="Z37" s="254"/>
    </row>
    <row r="38" spans="25:26" s="584" customFormat="1">
      <c r="Y38" s="254"/>
      <c r="Z38" s="254"/>
    </row>
    <row r="39" spans="25:26" s="584" customFormat="1">
      <c r="Y39" s="254"/>
      <c r="Z39" s="254"/>
    </row>
    <row r="40" spans="25:26" s="584" customFormat="1">
      <c r="Y40" s="254"/>
      <c r="Z40" s="254"/>
    </row>
    <row r="41" spans="25:26" s="584" customFormat="1">
      <c r="Y41" s="254"/>
      <c r="Z41" s="254"/>
    </row>
    <row r="42" spans="25:26" s="584" customFormat="1">
      <c r="Y42" s="254"/>
      <c r="Z42" s="254"/>
    </row>
    <row r="43" spans="25:26" s="584" customFormat="1">
      <c r="Y43" s="254"/>
      <c r="Z43" s="254"/>
    </row>
    <row r="44" spans="25:26" s="584" customFormat="1"/>
    <row r="45" spans="25:26" s="584" customFormat="1"/>
    <row r="46" spans="25:26" s="584" customFormat="1"/>
    <row r="47" spans="25:26" s="584" customFormat="1"/>
    <row r="48" spans="25:26" s="584" customFormat="1"/>
    <row r="49" s="584" customFormat="1"/>
    <row r="50" s="584" customFormat="1"/>
    <row r="51" s="584" customFormat="1"/>
    <row r="52" s="584" customFormat="1"/>
    <row r="53" s="584" customFormat="1"/>
    <row r="54" s="584" customFormat="1"/>
    <row r="55" s="584" customFormat="1"/>
    <row r="56" s="584" customFormat="1"/>
    <row r="57" s="584" customFormat="1"/>
    <row r="58" s="584" customFormat="1"/>
    <row r="59" s="584" customFormat="1"/>
    <row r="60" s="584" customFormat="1"/>
    <row r="61" s="584" customFormat="1"/>
    <row r="62" s="584" customFormat="1"/>
    <row r="63" s="584" customFormat="1"/>
    <row r="64" s="584" customFormat="1"/>
    <row r="65" spans="1:1" s="584" customFormat="1" ht="15">
      <c r="A65" s="505" t="s">
        <v>549</v>
      </c>
    </row>
    <row r="66" spans="1:1" s="584" customFormat="1"/>
    <row r="67" spans="1:1" s="584" customFormat="1"/>
    <row r="68" spans="1:1" s="584" customFormat="1"/>
    <row r="69" spans="1:1" s="584" customFormat="1"/>
    <row r="70" spans="1:1" s="584" customFormat="1"/>
    <row r="71" spans="1:1" s="584" customFormat="1"/>
    <row r="72" spans="1:1" s="584" customFormat="1"/>
    <row r="73" spans="1:1" s="584" customFormat="1"/>
    <row r="74" spans="1:1" s="584" customFormat="1"/>
    <row r="75" spans="1:1" s="584" customFormat="1"/>
    <row r="76" spans="1:1" s="584" customFormat="1"/>
    <row r="77" spans="1:1" s="584" customFormat="1"/>
    <row r="78" spans="1:1" s="584" customFormat="1"/>
    <row r="79" spans="1:1" s="584" customFormat="1"/>
    <row r="80" spans="1:1" s="584" customFormat="1"/>
    <row r="81" s="584" customFormat="1"/>
    <row r="82" s="584" customFormat="1"/>
    <row r="83" s="584" customFormat="1"/>
    <row r="84" s="584" customFormat="1"/>
    <row r="85" s="584" customFormat="1"/>
    <row r="86" s="584" customFormat="1"/>
    <row r="87" s="584" customFormat="1"/>
    <row r="88" s="584" customFormat="1"/>
    <row r="89" s="584" customFormat="1"/>
    <row r="90" s="584" customFormat="1"/>
    <row r="91" s="584" customFormat="1"/>
    <row r="92" s="584" customFormat="1"/>
    <row r="93" s="584" customFormat="1"/>
    <row r="94" s="584" customFormat="1"/>
    <row r="95" s="584" customFormat="1"/>
    <row r="96" s="584" customFormat="1"/>
    <row r="97" s="584" customFormat="1"/>
    <row r="98" s="584" customFormat="1"/>
    <row r="99" s="584" customFormat="1"/>
    <row r="100" s="584" customFormat="1"/>
    <row r="101" s="584" customFormat="1"/>
    <row r="102" s="584" customFormat="1"/>
    <row r="103" s="584" customFormat="1"/>
    <row r="104" s="584" customFormat="1"/>
    <row r="105" s="584" customFormat="1"/>
    <row r="106" s="584" customFormat="1"/>
    <row r="107" s="584" customFormat="1"/>
    <row r="108" s="584" customFormat="1"/>
    <row r="109" s="584" customFormat="1"/>
    <row r="110" s="584" customFormat="1"/>
    <row r="111" s="584" customFormat="1"/>
    <row r="112" s="584" customFormat="1"/>
    <row r="113" s="584" customFormat="1"/>
    <row r="114" s="584" customFormat="1"/>
    <row r="115" s="584" customFormat="1"/>
    <row r="116" s="584" customFormat="1"/>
    <row r="117" s="584" customFormat="1"/>
    <row r="118" s="584" customFormat="1"/>
    <row r="119" s="584" customFormat="1"/>
    <row r="120" s="584" customFormat="1"/>
    <row r="121" s="584" customFormat="1"/>
    <row r="122" s="584" customFormat="1"/>
    <row r="123" s="584" customFormat="1"/>
    <row r="124" s="584" customFormat="1"/>
    <row r="125" s="584" customFormat="1"/>
    <row r="126" s="584" customFormat="1"/>
    <row r="127" s="584" customFormat="1"/>
    <row r="128" s="584" customFormat="1"/>
    <row r="129" s="584" customFormat="1"/>
    <row r="130" s="584" customFormat="1"/>
    <row r="131" s="584" customFormat="1"/>
    <row r="132" s="584" customFormat="1"/>
    <row r="133" s="584" customFormat="1"/>
    <row r="134" s="584" customFormat="1"/>
    <row r="135" s="584" customFormat="1"/>
    <row r="136" s="584" customFormat="1"/>
    <row r="137" s="584" customFormat="1"/>
    <row r="138" s="584" customFormat="1"/>
    <row r="139" s="584" customFormat="1"/>
    <row r="140" s="584" customFormat="1"/>
    <row r="141" s="584" customFormat="1"/>
    <row r="142" s="584" customFormat="1"/>
    <row r="143" s="584" customFormat="1"/>
    <row r="144" s="584" customFormat="1"/>
    <row r="145" s="584" customFormat="1"/>
    <row r="146" s="584" customFormat="1"/>
    <row r="147" s="584" customFormat="1"/>
    <row r="148" s="584" customFormat="1"/>
    <row r="149" s="584" customFormat="1"/>
    <row r="150" s="584" customFormat="1"/>
    <row r="151" s="584" customFormat="1"/>
    <row r="152" s="584" customFormat="1"/>
    <row r="153" s="584" customFormat="1"/>
    <row r="154" s="584" customFormat="1"/>
    <row r="155" s="584" customFormat="1"/>
    <row r="156" s="584" customFormat="1"/>
    <row r="157" s="584" customFormat="1"/>
    <row r="158" s="584" customFormat="1"/>
    <row r="159" s="584" customFormat="1"/>
    <row r="160" s="584" customFormat="1"/>
    <row r="161" s="584" customFormat="1"/>
    <row r="162" s="584" customFormat="1"/>
    <row r="163" s="584" customFormat="1"/>
    <row r="164" s="584" customFormat="1"/>
    <row r="165" s="584" customFormat="1"/>
    <row r="166" s="584" customFormat="1"/>
    <row r="167" s="584" customFormat="1"/>
    <row r="168" s="584" customFormat="1"/>
    <row r="169" s="584" customFormat="1"/>
    <row r="170" s="584" customFormat="1"/>
    <row r="171" s="584" customFormat="1"/>
    <row r="172" s="584" customFormat="1"/>
    <row r="173" s="584" customFormat="1"/>
    <row r="174" s="584" customFormat="1"/>
    <row r="175" s="584" customFormat="1"/>
    <row r="176" s="584" customFormat="1"/>
    <row r="177" spans="1:9" s="584" customFormat="1"/>
    <row r="178" spans="1:9" s="584" customFormat="1"/>
    <row r="179" spans="1:9" s="584" customFormat="1"/>
    <row r="180" spans="1:9" s="584" customFormat="1"/>
    <row r="181" spans="1:9" s="584" customFormat="1"/>
    <row r="182" spans="1:9" s="584" customFormat="1"/>
    <row r="183" spans="1:9" s="584" customFormat="1"/>
    <row r="184" spans="1:9" s="584" customFormat="1">
      <c r="A184" s="182"/>
      <c r="B184" s="182"/>
      <c r="C184" s="182"/>
      <c r="D184" s="182"/>
      <c r="E184" s="182"/>
      <c r="F184" s="182"/>
      <c r="G184" s="182"/>
      <c r="H184" s="182"/>
      <c r="I184" s="182"/>
    </row>
    <row r="185" spans="1:9" s="584" customFormat="1">
      <c r="A185" s="182"/>
      <c r="B185" s="182"/>
      <c r="C185" s="182"/>
      <c r="D185" s="182"/>
      <c r="E185" s="182"/>
      <c r="F185" s="182"/>
      <c r="G185" s="182"/>
      <c r="H185" s="182"/>
      <c r="I185" s="182"/>
    </row>
    <row r="186" spans="1:9" s="584" customFormat="1">
      <c r="A186" s="182"/>
      <c r="B186" s="182"/>
      <c r="C186" s="182"/>
      <c r="D186" s="182"/>
      <c r="E186" s="182"/>
      <c r="F186" s="182"/>
      <c r="G186" s="182"/>
      <c r="H186" s="182"/>
      <c r="I186" s="182"/>
    </row>
    <row r="187" spans="1:9" s="584" customFormat="1">
      <c r="A187" s="182"/>
      <c r="B187" s="182"/>
      <c r="C187" s="182"/>
      <c r="D187" s="182"/>
      <c r="E187" s="182"/>
      <c r="F187" s="182"/>
      <c r="G187" s="182"/>
      <c r="H187" s="182"/>
      <c r="I187" s="182"/>
    </row>
    <row r="188" spans="1:9" s="584" customFormat="1">
      <c r="A188" s="182"/>
      <c r="B188" s="182"/>
      <c r="C188" s="182"/>
      <c r="D188" s="182"/>
      <c r="E188" s="182"/>
      <c r="F188" s="182"/>
      <c r="G188" s="182"/>
      <c r="H188" s="182"/>
      <c r="I188" s="182"/>
    </row>
    <row r="189" spans="1:9" s="584" customFormat="1">
      <c r="A189" s="182"/>
      <c r="B189" s="182"/>
      <c r="C189" s="182"/>
      <c r="D189" s="182"/>
      <c r="E189" s="182"/>
      <c r="F189" s="182"/>
      <c r="G189" s="182"/>
      <c r="H189" s="182"/>
      <c r="I189" s="182"/>
    </row>
    <row r="190" spans="1:9" s="584" customFormat="1">
      <c r="A190" s="182"/>
      <c r="B190" s="182"/>
      <c r="C190" s="182"/>
      <c r="D190" s="182"/>
      <c r="E190" s="182"/>
      <c r="F190" s="182"/>
      <c r="G190" s="182"/>
      <c r="H190" s="182"/>
      <c r="I190" s="182"/>
    </row>
    <row r="191" spans="1:9" s="584" customFormat="1">
      <c r="A191" s="182"/>
      <c r="B191" s="182"/>
      <c r="C191" s="182"/>
      <c r="D191" s="182"/>
      <c r="E191" s="182"/>
      <c r="F191" s="182"/>
      <c r="G191" s="182"/>
      <c r="H191" s="182"/>
      <c r="I191" s="182"/>
    </row>
    <row r="192" spans="1:9" s="584" customFormat="1">
      <c r="A192" s="182"/>
      <c r="B192" s="182"/>
      <c r="C192" s="182"/>
      <c r="D192" s="182"/>
      <c r="E192" s="182"/>
      <c r="F192" s="182"/>
      <c r="G192" s="182"/>
      <c r="H192" s="182"/>
      <c r="I192" s="182"/>
    </row>
    <row r="193" spans="1:9" s="584" customFormat="1">
      <c r="A193" s="182"/>
      <c r="B193" s="182"/>
      <c r="C193" s="182"/>
      <c r="D193" s="182"/>
      <c r="E193" s="182"/>
      <c r="F193" s="182"/>
      <c r="G193" s="182"/>
      <c r="H193" s="182"/>
      <c r="I193" s="182"/>
    </row>
    <row r="194" spans="1:9" s="584" customFormat="1">
      <c r="A194" s="182"/>
      <c r="B194" s="182"/>
      <c r="C194" s="182"/>
      <c r="D194" s="182"/>
      <c r="E194" s="182"/>
      <c r="F194" s="182"/>
      <c r="G194" s="182"/>
      <c r="H194" s="182"/>
      <c r="I194" s="182"/>
    </row>
    <row r="195" spans="1:9" s="584" customFormat="1">
      <c r="A195" s="182"/>
      <c r="B195" s="182"/>
      <c r="C195" s="182"/>
      <c r="D195" s="182"/>
      <c r="E195" s="182"/>
      <c r="F195" s="182"/>
      <c r="G195" s="182"/>
      <c r="H195" s="182"/>
      <c r="I195" s="182"/>
    </row>
    <row r="196" spans="1:9" s="584" customFormat="1">
      <c r="A196" s="182"/>
      <c r="B196" s="182"/>
      <c r="C196" s="182"/>
      <c r="D196" s="182"/>
      <c r="E196" s="182"/>
      <c r="F196" s="182"/>
      <c r="G196" s="182"/>
      <c r="H196" s="182"/>
      <c r="I196" s="182"/>
    </row>
    <row r="197" spans="1:9" s="584" customFormat="1">
      <c r="A197" s="182"/>
      <c r="B197" s="182"/>
      <c r="C197" s="182"/>
      <c r="D197" s="182"/>
      <c r="E197" s="182"/>
      <c r="F197" s="182"/>
      <c r="G197" s="182"/>
      <c r="H197" s="182"/>
      <c r="I197" s="182"/>
    </row>
    <row r="198" spans="1:9" s="584" customFormat="1">
      <c r="A198" s="182"/>
      <c r="B198" s="182"/>
      <c r="C198" s="182"/>
      <c r="D198" s="182"/>
      <c r="E198" s="182"/>
      <c r="F198" s="182"/>
      <c r="G198" s="182"/>
      <c r="H198" s="182"/>
      <c r="I198" s="182"/>
    </row>
    <row r="199" spans="1:9" s="584" customFormat="1">
      <c r="A199" s="182"/>
      <c r="B199" s="182"/>
      <c r="C199" s="182"/>
      <c r="D199" s="182"/>
      <c r="E199" s="182"/>
      <c r="F199" s="182"/>
      <c r="G199" s="182"/>
      <c r="H199" s="182"/>
      <c r="I199" s="182"/>
    </row>
    <row r="200" spans="1:9" s="584" customFormat="1">
      <c r="A200" s="182"/>
      <c r="B200" s="182"/>
      <c r="C200" s="182"/>
      <c r="D200" s="182"/>
      <c r="E200" s="182"/>
      <c r="F200" s="182"/>
      <c r="G200" s="182"/>
      <c r="H200" s="182"/>
      <c r="I200" s="182"/>
    </row>
    <row r="201" spans="1:9" s="584" customFormat="1">
      <c r="A201" s="182"/>
      <c r="B201" s="182"/>
      <c r="C201" s="182"/>
      <c r="D201" s="182"/>
      <c r="E201" s="182"/>
      <c r="F201" s="182"/>
      <c r="G201" s="182"/>
      <c r="H201" s="182"/>
      <c r="I201" s="182"/>
    </row>
    <row r="202" spans="1:9" s="584" customFormat="1">
      <c r="A202" s="182"/>
      <c r="B202" s="182"/>
      <c r="C202" s="182"/>
      <c r="D202" s="182"/>
      <c r="E202" s="182"/>
      <c r="F202" s="182"/>
      <c r="G202" s="182"/>
      <c r="H202" s="182"/>
      <c r="I202" s="182"/>
    </row>
    <row r="203" spans="1:9" s="584" customFormat="1">
      <c r="A203" s="182"/>
      <c r="B203" s="182"/>
      <c r="C203" s="182"/>
      <c r="D203" s="182"/>
      <c r="E203" s="182"/>
      <c r="F203" s="182"/>
      <c r="G203" s="182"/>
      <c r="H203" s="182"/>
      <c r="I203" s="182"/>
    </row>
    <row r="204" spans="1:9" s="584" customFormat="1">
      <c r="A204" s="182"/>
      <c r="B204" s="182"/>
      <c r="C204" s="182"/>
      <c r="D204" s="182"/>
      <c r="E204" s="182"/>
      <c r="F204" s="182"/>
      <c r="G204" s="182"/>
      <c r="H204" s="182"/>
      <c r="I204" s="182"/>
    </row>
    <row r="205" spans="1:9" s="584" customFormat="1">
      <c r="A205" s="182"/>
      <c r="B205" s="182"/>
      <c r="C205" s="182"/>
      <c r="D205" s="182"/>
      <c r="E205" s="182"/>
      <c r="F205" s="182"/>
      <c r="G205" s="182"/>
      <c r="H205" s="182"/>
      <c r="I205" s="182"/>
    </row>
    <row r="206" spans="1:9" s="584" customFormat="1">
      <c r="A206" s="182"/>
      <c r="B206" s="182"/>
      <c r="C206" s="182"/>
      <c r="D206" s="182"/>
      <c r="E206" s="182"/>
      <c r="F206" s="182"/>
      <c r="G206" s="182"/>
      <c r="H206" s="182"/>
      <c r="I206" s="182"/>
    </row>
    <row r="207" spans="1:9" s="584" customFormat="1">
      <c r="A207" s="182"/>
      <c r="B207" s="182"/>
      <c r="C207" s="182"/>
      <c r="D207" s="182"/>
      <c r="E207" s="182"/>
      <c r="F207" s="182"/>
      <c r="G207" s="182"/>
      <c r="H207" s="182"/>
      <c r="I207" s="182"/>
    </row>
    <row r="208" spans="1:9" s="584" customFormat="1">
      <c r="A208" s="182"/>
      <c r="B208" s="182"/>
      <c r="C208" s="182"/>
      <c r="D208" s="182"/>
      <c r="E208" s="182"/>
      <c r="F208" s="182"/>
      <c r="G208" s="182"/>
      <c r="H208" s="182"/>
      <c r="I208" s="182"/>
    </row>
    <row r="209" spans="1:9" s="584" customFormat="1">
      <c r="A209" s="182"/>
      <c r="B209" s="182"/>
      <c r="C209" s="182"/>
      <c r="D209" s="182"/>
      <c r="E209" s="182"/>
      <c r="F209" s="182"/>
      <c r="G209" s="182"/>
      <c r="H209" s="182"/>
      <c r="I209" s="182"/>
    </row>
    <row r="210" spans="1:9" s="584" customFormat="1">
      <c r="A210" s="182"/>
      <c r="B210" s="182"/>
      <c r="C210" s="182"/>
      <c r="D210" s="182"/>
      <c r="E210" s="182"/>
      <c r="F210" s="182"/>
      <c r="G210" s="182"/>
      <c r="H210" s="182"/>
      <c r="I210" s="182"/>
    </row>
    <row r="211" spans="1:9" s="584" customFormat="1">
      <c r="A211" s="182"/>
      <c r="B211" s="182"/>
      <c r="C211" s="182"/>
      <c r="D211" s="182"/>
      <c r="E211" s="182"/>
      <c r="F211" s="182"/>
      <c r="G211" s="182"/>
      <c r="H211" s="182"/>
      <c r="I211" s="182"/>
    </row>
    <row r="212" spans="1:9" s="584" customFormat="1">
      <c r="A212" s="182"/>
      <c r="B212" s="182"/>
      <c r="C212" s="182"/>
      <c r="D212" s="182"/>
      <c r="E212" s="182"/>
      <c r="F212" s="182"/>
      <c r="G212" s="182"/>
      <c r="H212" s="182"/>
      <c r="I212" s="182"/>
    </row>
    <row r="213" spans="1:9" s="584" customFormat="1">
      <c r="A213" s="182"/>
      <c r="B213" s="182"/>
      <c r="C213" s="182"/>
      <c r="D213" s="182"/>
      <c r="E213" s="182"/>
      <c r="F213" s="182"/>
      <c r="G213" s="182"/>
      <c r="H213" s="182"/>
      <c r="I213" s="182"/>
    </row>
    <row r="214" spans="1:9" s="584" customFormat="1">
      <c r="A214" s="182"/>
      <c r="B214" s="182"/>
      <c r="C214" s="182"/>
      <c r="D214" s="182"/>
      <c r="E214" s="182"/>
      <c r="F214" s="182"/>
      <c r="G214" s="182"/>
      <c r="H214" s="182"/>
      <c r="I214" s="182"/>
    </row>
    <row r="215" spans="1:9" s="584" customFormat="1">
      <c r="A215" s="182"/>
      <c r="B215" s="182"/>
      <c r="C215" s="182"/>
      <c r="D215" s="182"/>
      <c r="E215" s="182"/>
      <c r="F215" s="182"/>
      <c r="G215" s="182"/>
      <c r="H215" s="182"/>
      <c r="I215" s="182"/>
    </row>
    <row r="216" spans="1:9" s="584" customFormat="1">
      <c r="A216" s="182"/>
      <c r="B216" s="182"/>
      <c r="C216" s="182"/>
      <c r="D216" s="182"/>
      <c r="E216" s="182"/>
      <c r="F216" s="182"/>
      <c r="G216" s="182"/>
      <c r="H216" s="182"/>
      <c r="I216" s="182"/>
    </row>
    <row r="217" spans="1:9" s="584" customFormat="1">
      <c r="A217" s="182"/>
      <c r="B217" s="182"/>
      <c r="C217" s="182"/>
      <c r="D217" s="182"/>
      <c r="E217" s="182"/>
      <c r="F217" s="182"/>
      <c r="G217" s="182"/>
      <c r="H217" s="182"/>
      <c r="I217" s="182"/>
    </row>
    <row r="218" spans="1:9" s="584" customFormat="1">
      <c r="A218" s="182"/>
      <c r="B218" s="182"/>
      <c r="C218" s="182"/>
      <c r="D218" s="182"/>
      <c r="E218" s="182"/>
      <c r="F218" s="182"/>
      <c r="G218" s="182"/>
      <c r="H218" s="182"/>
      <c r="I218" s="182"/>
    </row>
    <row r="219" spans="1:9" s="584" customFormat="1">
      <c r="A219" s="182"/>
      <c r="B219" s="182"/>
      <c r="C219" s="182"/>
      <c r="D219" s="182"/>
      <c r="E219" s="182"/>
      <c r="F219" s="182"/>
      <c r="G219" s="182"/>
      <c r="H219" s="182"/>
      <c r="I219" s="182"/>
    </row>
    <row r="220" spans="1:9" s="584" customFormat="1">
      <c r="A220" s="182"/>
      <c r="B220" s="182"/>
      <c r="C220" s="182"/>
      <c r="D220" s="182"/>
      <c r="E220" s="182"/>
      <c r="F220" s="182"/>
      <c r="G220" s="182"/>
      <c r="H220" s="182"/>
      <c r="I220" s="182"/>
    </row>
    <row r="221" spans="1:9" s="584" customFormat="1">
      <c r="A221" s="182"/>
      <c r="B221" s="182"/>
      <c r="C221" s="182"/>
      <c r="D221" s="182"/>
      <c r="E221" s="182"/>
      <c r="F221" s="182"/>
      <c r="G221" s="182"/>
      <c r="H221" s="182"/>
      <c r="I221" s="182"/>
    </row>
    <row r="222" spans="1:9" s="584" customFormat="1">
      <c r="A222" s="182"/>
      <c r="B222" s="182"/>
      <c r="C222" s="182"/>
      <c r="D222" s="182"/>
      <c r="E222" s="182"/>
      <c r="F222" s="182"/>
      <c r="G222" s="182"/>
      <c r="H222" s="182"/>
      <c r="I222" s="182"/>
    </row>
    <row r="223" spans="1:9" s="584" customFormat="1">
      <c r="A223" s="182"/>
      <c r="B223" s="182"/>
      <c r="C223" s="182"/>
      <c r="D223" s="182"/>
      <c r="E223" s="182"/>
      <c r="F223" s="182"/>
      <c r="G223" s="182"/>
      <c r="H223" s="182"/>
      <c r="I223" s="182"/>
    </row>
    <row r="224" spans="1:9" s="584" customFormat="1">
      <c r="A224" s="182"/>
      <c r="B224" s="182"/>
      <c r="C224" s="182"/>
      <c r="D224" s="182"/>
      <c r="E224" s="182"/>
      <c r="F224" s="182"/>
      <c r="G224" s="182"/>
      <c r="H224" s="182"/>
      <c r="I224" s="182"/>
    </row>
    <row r="225" spans="1:18" s="584" customFormat="1">
      <c r="A225" s="182"/>
      <c r="B225" s="182"/>
      <c r="C225" s="182"/>
      <c r="D225" s="182"/>
      <c r="E225" s="182"/>
      <c r="F225" s="182"/>
      <c r="G225" s="182"/>
      <c r="H225" s="182"/>
      <c r="I225" s="182"/>
    </row>
    <row r="226" spans="1:18" s="584" customFormat="1">
      <c r="A226" s="182"/>
      <c r="B226" s="182"/>
      <c r="C226" s="182"/>
      <c r="D226" s="182"/>
      <c r="E226" s="182"/>
      <c r="F226" s="182"/>
      <c r="G226" s="182"/>
      <c r="H226" s="182"/>
      <c r="I226" s="182"/>
    </row>
    <row r="227" spans="1:18" s="584" customFormat="1">
      <c r="A227" s="182"/>
      <c r="B227" s="182"/>
      <c r="C227" s="182"/>
      <c r="D227" s="182"/>
      <c r="E227" s="182"/>
      <c r="F227" s="182"/>
      <c r="G227" s="182"/>
      <c r="H227" s="182"/>
      <c r="I227" s="182"/>
    </row>
    <row r="228" spans="1:18" s="584" customFormat="1">
      <c r="A228" s="182"/>
      <c r="B228" s="182"/>
      <c r="C228" s="182"/>
      <c r="D228" s="182"/>
      <c r="E228" s="182"/>
      <c r="F228" s="182"/>
      <c r="G228" s="182"/>
      <c r="H228" s="182"/>
      <c r="I228" s="182"/>
    </row>
    <row r="229" spans="1:18">
      <c r="L229" s="584"/>
      <c r="M229" s="584"/>
      <c r="N229" s="584"/>
      <c r="O229" s="584"/>
      <c r="P229" s="584"/>
      <c r="Q229" s="584"/>
      <c r="R229" s="584"/>
    </row>
  </sheetData>
  <mergeCells count="8">
    <mergeCell ref="E5:H5"/>
    <mergeCell ref="E6:F7"/>
    <mergeCell ref="G6:H7"/>
    <mergeCell ref="C6:D6"/>
    <mergeCell ref="C7:D7"/>
    <mergeCell ref="N6:Q6"/>
    <mergeCell ref="N7:Q7"/>
    <mergeCell ref="I6:J7"/>
  </mergeCells>
  <phoneticPr fontId="15" type="noConversion"/>
  <hyperlinks>
    <hyperlink ref="A15" r:id="rId1"/>
    <hyperlink ref="A65" r:id="rId2"/>
  </hyperlinks>
  <printOptions horizontalCentered="1"/>
  <pageMargins left="0.35433070866141736" right="0.19685039370078741" top="0.47" bottom="0.23622047244094491" header="0" footer="0"/>
  <pageSetup paperSize="9" scale="50" orientation="landscape" r:id="rId3"/>
  <headerFooter alignWithMargins="0"/>
  <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dimension ref="A1:N251"/>
  <sheetViews>
    <sheetView view="pageBreakPreview" zoomScaleNormal="100" zoomScaleSheetLayoutView="100" workbookViewId="0"/>
  </sheetViews>
  <sheetFormatPr baseColWidth="10" defaultColWidth="8.88671875" defaultRowHeight="12.75"/>
  <cols>
    <col min="1" max="1" width="8.88671875" style="148" customWidth="1"/>
    <col min="2" max="2" width="14.33203125" style="148" customWidth="1"/>
    <col min="3" max="9" width="12.6640625" style="148" bestFit="1" customWidth="1"/>
    <col min="10" max="10" width="11.109375" style="148" customWidth="1"/>
    <col min="11" max="12" width="12.6640625" style="148" bestFit="1" customWidth="1"/>
    <col min="13" max="13" width="8.88671875" style="148" customWidth="1"/>
    <col min="14" max="16384" width="8.88671875" style="148"/>
  </cols>
  <sheetData>
    <row r="1" spans="1:14" ht="26.25">
      <c r="A1" s="522" t="s">
        <v>468</v>
      </c>
      <c r="B1" s="524"/>
      <c r="C1" s="524"/>
      <c r="D1" s="524"/>
      <c r="E1" s="524"/>
      <c r="F1" s="524"/>
      <c r="G1" s="524"/>
      <c r="H1" s="524"/>
      <c r="I1" s="524"/>
      <c r="J1" s="524"/>
      <c r="K1" s="524"/>
      <c r="L1" s="524"/>
      <c r="M1" s="524"/>
    </row>
    <row r="3" spans="1:14" ht="26.25">
      <c r="A3" s="526" t="s">
        <v>455</v>
      </c>
    </row>
    <row r="4" spans="1:14" ht="15">
      <c r="A4" s="163" t="s">
        <v>343</v>
      </c>
    </row>
    <row r="5" spans="1:14" ht="38.25">
      <c r="B5" s="151" t="s">
        <v>188</v>
      </c>
      <c r="C5" s="157" t="s">
        <v>125</v>
      </c>
      <c r="D5" s="157" t="s">
        <v>126</v>
      </c>
      <c r="E5" s="157" t="s">
        <v>127</v>
      </c>
      <c r="F5" s="157" t="s">
        <v>128</v>
      </c>
      <c r="G5" s="157" t="s">
        <v>129</v>
      </c>
      <c r="H5" s="157" t="s">
        <v>130</v>
      </c>
      <c r="I5" s="157" t="s">
        <v>182</v>
      </c>
      <c r="J5" s="157" t="s">
        <v>183</v>
      </c>
      <c r="K5" s="157" t="s">
        <v>184</v>
      </c>
      <c r="L5" s="157" t="s">
        <v>184</v>
      </c>
      <c r="M5" s="152" t="s">
        <v>191</v>
      </c>
    </row>
    <row r="6" spans="1:14">
      <c r="A6" s="154" t="s">
        <v>100</v>
      </c>
      <c r="B6" s="150" t="s">
        <v>131</v>
      </c>
      <c r="C6" s="280">
        <v>0.15129999999999999</v>
      </c>
      <c r="D6" s="267">
        <v>0.3639</v>
      </c>
      <c r="E6" s="267">
        <v>0.35949999999999999</v>
      </c>
      <c r="F6" s="267">
        <v>1.1299999999999999E-2</v>
      </c>
      <c r="G6" s="267">
        <v>4.8899999999999999E-2</v>
      </c>
      <c r="H6" s="267">
        <v>0.3947</v>
      </c>
      <c r="I6" s="267">
        <v>0.1147</v>
      </c>
      <c r="J6" s="267">
        <v>0.1147</v>
      </c>
      <c r="K6" s="267">
        <v>0.1147</v>
      </c>
      <c r="L6" s="267">
        <v>0.1147</v>
      </c>
      <c r="M6" s="158">
        <f>+TA_VAD!C64</f>
        <v>0</v>
      </c>
    </row>
    <row r="7" spans="1:14">
      <c r="A7" s="155"/>
      <c r="B7" s="150" t="s">
        <v>189</v>
      </c>
      <c r="C7" s="280">
        <v>5.9299999999999999E-2</v>
      </c>
      <c r="D7" s="267">
        <v>0</v>
      </c>
      <c r="E7" s="268">
        <v>0</v>
      </c>
      <c r="F7" s="267">
        <v>0</v>
      </c>
      <c r="G7" s="268">
        <v>0</v>
      </c>
      <c r="H7" s="267">
        <v>0</v>
      </c>
      <c r="I7" s="268">
        <v>0</v>
      </c>
      <c r="J7" s="267">
        <v>0</v>
      </c>
      <c r="K7" s="267">
        <v>0</v>
      </c>
      <c r="L7" s="267">
        <v>0</v>
      </c>
      <c r="M7" s="158">
        <f>+TA_VAD!C65</f>
        <v>0</v>
      </c>
    </row>
    <row r="8" spans="1:14">
      <c r="A8" s="155"/>
      <c r="B8" s="150" t="s">
        <v>132</v>
      </c>
      <c r="C8" s="280">
        <v>3.1199999999999999E-2</v>
      </c>
      <c r="D8" s="267">
        <v>7.1000000000000004E-3</v>
      </c>
      <c r="E8" s="267">
        <v>6.8900000000000003E-2</v>
      </c>
      <c r="F8" s="267">
        <v>5.1999999999999998E-3</v>
      </c>
      <c r="G8" s="267">
        <v>3.0999999999999999E-3</v>
      </c>
      <c r="H8" s="267">
        <v>0.10009999999999999</v>
      </c>
      <c r="I8" s="267">
        <v>1.66E-2</v>
      </c>
      <c r="J8" s="267">
        <v>1.66E-2</v>
      </c>
      <c r="K8" s="267">
        <v>1.66E-2</v>
      </c>
      <c r="L8" s="267">
        <v>1.66E-2</v>
      </c>
      <c r="M8" s="158">
        <f>+TA_VAD!C66</f>
        <v>0</v>
      </c>
    </row>
    <row r="9" spans="1:14">
      <c r="A9" s="155"/>
      <c r="B9" s="150" t="s">
        <v>133</v>
      </c>
      <c r="C9" s="280">
        <v>0.75219999999999998</v>
      </c>
      <c r="D9" s="267">
        <v>0.48060000000000003</v>
      </c>
      <c r="E9" s="267">
        <v>0.40699999999999997</v>
      </c>
      <c r="F9" s="267">
        <v>0.55900000000000005</v>
      </c>
      <c r="G9" s="267">
        <v>0.2487</v>
      </c>
      <c r="H9" s="267">
        <v>0.17150000000000001</v>
      </c>
      <c r="I9" s="267">
        <v>0.31919999999999998</v>
      </c>
      <c r="J9" s="267">
        <v>0.31919999999999998</v>
      </c>
      <c r="K9" s="267">
        <v>0.31919999999999998</v>
      </c>
      <c r="L9" s="267">
        <v>0.31919999999999998</v>
      </c>
      <c r="M9" s="158">
        <f>+TA_VAD!C67</f>
        <v>0</v>
      </c>
    </row>
    <row r="10" spans="1:14">
      <c r="A10" s="155"/>
      <c r="B10" s="150" t="s">
        <v>134</v>
      </c>
      <c r="C10" s="280">
        <v>0</v>
      </c>
      <c r="D10" s="267">
        <v>0</v>
      </c>
      <c r="E10" s="267">
        <v>0</v>
      </c>
      <c r="F10" s="267">
        <v>0</v>
      </c>
      <c r="G10" s="267">
        <v>0</v>
      </c>
      <c r="H10" s="267">
        <v>0</v>
      </c>
      <c r="I10" s="267">
        <v>0</v>
      </c>
      <c r="J10" s="267">
        <v>0</v>
      </c>
      <c r="K10" s="267">
        <v>0</v>
      </c>
      <c r="L10" s="267">
        <v>0</v>
      </c>
      <c r="M10" s="284">
        <v>0.06</v>
      </c>
    </row>
    <row r="11" spans="1:14">
      <c r="A11" s="155"/>
      <c r="B11" s="150" t="s">
        <v>190</v>
      </c>
      <c r="C11" s="280">
        <v>6.0000000000000001E-3</v>
      </c>
      <c r="D11" s="267">
        <v>0.1484</v>
      </c>
      <c r="E11" s="267">
        <v>0.1646</v>
      </c>
      <c r="F11" s="267">
        <v>0.42449999999999999</v>
      </c>
      <c r="G11" s="267">
        <v>0.69930000000000003</v>
      </c>
      <c r="H11" s="267">
        <v>0.3337</v>
      </c>
      <c r="I11" s="267">
        <v>0.54949999999999999</v>
      </c>
      <c r="J11" s="267">
        <v>0.54949999999999999</v>
      </c>
      <c r="K11" s="267">
        <v>0.54949999999999999</v>
      </c>
      <c r="L11" s="267">
        <v>0.54949999999999999</v>
      </c>
      <c r="M11" s="158">
        <f>+TA_VAD!C69</f>
        <v>0</v>
      </c>
    </row>
    <row r="12" spans="1:14">
      <c r="A12" s="156"/>
      <c r="B12" s="150" t="s">
        <v>135</v>
      </c>
      <c r="C12" s="280">
        <v>0</v>
      </c>
      <c r="D12" s="267">
        <v>0</v>
      </c>
      <c r="E12" s="267">
        <v>0</v>
      </c>
      <c r="F12" s="267">
        <v>0</v>
      </c>
      <c r="G12" s="267">
        <v>0</v>
      </c>
      <c r="H12" s="267">
        <v>0</v>
      </c>
      <c r="I12" s="267">
        <v>0</v>
      </c>
      <c r="J12" s="267">
        <v>0</v>
      </c>
      <c r="K12" s="267">
        <v>0</v>
      </c>
      <c r="L12" s="267">
        <v>0</v>
      </c>
      <c r="M12" s="158">
        <f>+TA_VAD!C70</f>
        <v>0</v>
      </c>
    </row>
    <row r="13" spans="1:14">
      <c r="A13" s="154" t="s">
        <v>104</v>
      </c>
      <c r="B13" s="150" t="s">
        <v>189</v>
      </c>
      <c r="C13" s="280">
        <v>0.58930000000000005</v>
      </c>
      <c r="D13" s="267">
        <v>0.42630000000000001</v>
      </c>
      <c r="E13" s="267">
        <v>0.43149999999999999</v>
      </c>
      <c r="F13" s="267">
        <v>0.3604</v>
      </c>
      <c r="G13" s="267">
        <v>0.44330000000000003</v>
      </c>
      <c r="H13" s="267">
        <v>0.80210000000000004</v>
      </c>
      <c r="I13" s="267">
        <v>0.2442</v>
      </c>
      <c r="J13" s="267">
        <v>0.4219</v>
      </c>
      <c r="K13" s="267">
        <v>0.2442</v>
      </c>
      <c r="L13" s="267">
        <v>0.4219</v>
      </c>
      <c r="M13" s="153">
        <f t="shared" ref="M13:M18" si="0">+M7</f>
        <v>0</v>
      </c>
      <c r="N13" s="149"/>
    </row>
    <row r="14" spans="1:14">
      <c r="A14" s="155"/>
      <c r="B14" s="150" t="s">
        <v>132</v>
      </c>
      <c r="C14" s="280">
        <v>2.5399999999999999E-2</v>
      </c>
      <c r="D14" s="267">
        <v>3.5999999999999999E-3</v>
      </c>
      <c r="E14" s="267">
        <v>2.01E-2</v>
      </c>
      <c r="F14" s="267">
        <v>2.8E-3</v>
      </c>
      <c r="G14" s="267">
        <v>1E-3</v>
      </c>
      <c r="H14" s="267">
        <v>1.9199999999999998E-2</v>
      </c>
      <c r="I14" s="267">
        <v>1.6000000000000001E-3</v>
      </c>
      <c r="J14" s="267">
        <v>2.8E-3</v>
      </c>
      <c r="K14" s="267">
        <v>1.6000000000000001E-3</v>
      </c>
      <c r="L14" s="267">
        <v>2.8E-3</v>
      </c>
      <c r="M14" s="153">
        <f t="shared" si="0"/>
        <v>0</v>
      </c>
      <c r="N14" s="149"/>
    </row>
    <row r="15" spans="1:14">
      <c r="A15" s="155"/>
      <c r="B15" s="150" t="s">
        <v>133</v>
      </c>
      <c r="C15" s="280">
        <v>8.43E-2</v>
      </c>
      <c r="D15" s="267">
        <v>4.2799999999999998E-2</v>
      </c>
      <c r="E15" s="267">
        <v>4.7899999999999998E-2</v>
      </c>
      <c r="F15" s="267">
        <v>7.1599999999999997E-2</v>
      </c>
      <c r="G15" s="267">
        <v>5.1200000000000002E-2</v>
      </c>
      <c r="H15" s="267">
        <v>2.4899999999999999E-2</v>
      </c>
      <c r="I15" s="267">
        <v>2.1100000000000001E-2</v>
      </c>
      <c r="J15" s="267">
        <v>3.6400000000000002E-2</v>
      </c>
      <c r="K15" s="267">
        <v>2.1100000000000001E-2</v>
      </c>
      <c r="L15" s="267">
        <v>3.6400000000000002E-2</v>
      </c>
      <c r="M15" s="153">
        <f t="shared" si="0"/>
        <v>0</v>
      </c>
      <c r="N15" s="149"/>
    </row>
    <row r="16" spans="1:14">
      <c r="A16" s="155"/>
      <c r="B16" s="162" t="s">
        <v>134</v>
      </c>
      <c r="C16" s="280">
        <v>0.17449999999999999</v>
      </c>
      <c r="D16" s="267">
        <v>0.29809999999999998</v>
      </c>
      <c r="E16" s="267">
        <v>0.34739999999999999</v>
      </c>
      <c r="F16" s="267">
        <v>0.373</v>
      </c>
      <c r="G16" s="267">
        <v>0.32150000000000001</v>
      </c>
      <c r="H16" s="267">
        <v>1.41E-2</v>
      </c>
      <c r="I16" s="267">
        <v>7.1800000000000003E-2</v>
      </c>
      <c r="J16" s="267">
        <v>0.124</v>
      </c>
      <c r="K16" s="267">
        <v>7.1800000000000003E-2</v>
      </c>
      <c r="L16" s="267">
        <v>0.124</v>
      </c>
      <c r="M16" s="284">
        <f t="shared" si="0"/>
        <v>0.06</v>
      </c>
      <c r="N16" s="149"/>
    </row>
    <row r="17" spans="1:14">
      <c r="A17" s="155"/>
      <c r="B17" s="150" t="s">
        <v>190</v>
      </c>
      <c r="C17" s="280">
        <v>4.7000000000000002E-3</v>
      </c>
      <c r="D17" s="267">
        <v>6.6500000000000004E-2</v>
      </c>
      <c r="E17" s="267">
        <v>4.8099999999999997E-2</v>
      </c>
      <c r="F17" s="267">
        <v>0.18609999999999999</v>
      </c>
      <c r="G17" s="267">
        <v>0.16769999999999999</v>
      </c>
      <c r="H17" s="267">
        <v>6.4000000000000001E-2</v>
      </c>
      <c r="I17" s="267">
        <v>9.06E-2</v>
      </c>
      <c r="J17" s="267">
        <v>0.1565</v>
      </c>
      <c r="K17" s="267">
        <v>9.06E-2</v>
      </c>
      <c r="L17" s="267">
        <v>0.1565</v>
      </c>
      <c r="M17" s="153">
        <f t="shared" si="0"/>
        <v>0</v>
      </c>
      <c r="N17" s="149"/>
    </row>
    <row r="18" spans="1:14">
      <c r="A18" s="155"/>
      <c r="B18" s="150" t="s">
        <v>135</v>
      </c>
      <c r="C18" s="280">
        <v>0</v>
      </c>
      <c r="D18" s="267">
        <v>0</v>
      </c>
      <c r="E18" s="267">
        <v>0</v>
      </c>
      <c r="F18" s="267">
        <v>0</v>
      </c>
      <c r="G18" s="267">
        <v>0</v>
      </c>
      <c r="H18" s="267">
        <v>0</v>
      </c>
      <c r="I18" s="267">
        <v>0.55959999999999999</v>
      </c>
      <c r="J18" s="267">
        <v>0.2392</v>
      </c>
      <c r="K18" s="267">
        <v>0.55959999999999999</v>
      </c>
      <c r="L18" s="267">
        <v>0.2392</v>
      </c>
      <c r="M18" s="153">
        <f t="shared" si="0"/>
        <v>0</v>
      </c>
      <c r="N18" s="149"/>
    </row>
    <row r="19" spans="1:14">
      <c r="A19" s="156"/>
      <c r="B19" s="246" t="s">
        <v>131</v>
      </c>
      <c r="C19" s="280">
        <v>0.12180000000000001</v>
      </c>
      <c r="D19" s="267"/>
      <c r="E19" s="267"/>
      <c r="F19" s="267"/>
      <c r="G19" s="267"/>
      <c r="H19" s="267"/>
      <c r="I19" s="267"/>
      <c r="J19" s="267"/>
      <c r="K19" s="267"/>
      <c r="L19" s="267"/>
      <c r="M19" s="153">
        <v>0</v>
      </c>
    </row>
    <row r="20" spans="1:14">
      <c r="A20" s="154" t="s">
        <v>186</v>
      </c>
      <c r="B20" s="150" t="s">
        <v>131</v>
      </c>
      <c r="C20" s="280">
        <v>5.74E-2</v>
      </c>
      <c r="D20" s="267">
        <v>5.8400000000000001E-2</v>
      </c>
      <c r="E20" s="267">
        <v>3.6700000000000003E-2</v>
      </c>
      <c r="F20" s="267">
        <v>1.6999999999999999E-3</v>
      </c>
      <c r="G20" s="267">
        <v>4.1000000000000003E-3</v>
      </c>
      <c r="H20" s="267">
        <v>7.0000000000000007E-2</v>
      </c>
      <c r="I20" s="267">
        <v>1.0999999999999999E-2</v>
      </c>
      <c r="J20" s="267">
        <v>1.0999999999999999E-2</v>
      </c>
      <c r="K20" s="267">
        <v>1.0999999999999999E-2</v>
      </c>
      <c r="L20" s="267">
        <v>1.0999999999999999E-2</v>
      </c>
      <c r="M20" s="153">
        <f t="shared" ref="M20:M26" si="1">+M6</f>
        <v>0</v>
      </c>
    </row>
    <row r="21" spans="1:14">
      <c r="A21" s="155"/>
      <c r="B21" s="150" t="s">
        <v>189</v>
      </c>
      <c r="C21" s="280">
        <v>0.76090000000000002</v>
      </c>
      <c r="D21" s="267">
        <v>0.83320000000000005</v>
      </c>
      <c r="E21" s="267">
        <v>0.84560000000000002</v>
      </c>
      <c r="F21" s="267">
        <v>0.80120000000000002</v>
      </c>
      <c r="G21" s="267">
        <v>0.86680000000000001</v>
      </c>
      <c r="H21" s="267">
        <v>0.82750000000000001</v>
      </c>
      <c r="I21" s="267">
        <v>0.87580000000000002</v>
      </c>
      <c r="J21" s="267">
        <v>0.87580000000000002</v>
      </c>
      <c r="K21" s="267">
        <v>0.87580000000000002</v>
      </c>
      <c r="L21" s="267">
        <v>0.87580000000000002</v>
      </c>
      <c r="M21" s="153">
        <f t="shared" si="1"/>
        <v>0</v>
      </c>
    </row>
    <row r="22" spans="1:14">
      <c r="A22" s="155"/>
      <c r="B22" s="150" t="s">
        <v>132</v>
      </c>
      <c r="C22" s="280">
        <v>1.2E-2</v>
      </c>
      <c r="D22" s="267">
        <v>1.2999999999999999E-3</v>
      </c>
      <c r="E22" s="267">
        <v>7.0000000000000001E-3</v>
      </c>
      <c r="F22" s="267">
        <v>8.0000000000000004E-4</v>
      </c>
      <c r="G22" s="267">
        <v>2.9999999999999997E-4</v>
      </c>
      <c r="H22" s="267">
        <v>1.77E-2</v>
      </c>
      <c r="I22" s="267">
        <v>1.6000000000000001E-3</v>
      </c>
      <c r="J22" s="267">
        <v>1.6000000000000001E-3</v>
      </c>
      <c r="K22" s="267">
        <v>1.6000000000000001E-3</v>
      </c>
      <c r="L22" s="267">
        <v>1.6000000000000001E-3</v>
      </c>
      <c r="M22" s="153">
        <f t="shared" si="1"/>
        <v>0</v>
      </c>
    </row>
    <row r="23" spans="1:14">
      <c r="A23" s="155"/>
      <c r="B23" s="150" t="s">
        <v>133</v>
      </c>
      <c r="C23" s="280">
        <v>0.16750000000000001</v>
      </c>
      <c r="D23" s="267">
        <v>8.3199999999999996E-2</v>
      </c>
      <c r="E23" s="267">
        <v>9.3899999999999997E-2</v>
      </c>
      <c r="F23" s="267">
        <v>0.15909999999999999</v>
      </c>
      <c r="G23" s="267">
        <v>0.1002</v>
      </c>
      <c r="H23" s="267">
        <v>2.5600000000000001E-2</v>
      </c>
      <c r="I23" s="267">
        <v>7.5499999999999998E-2</v>
      </c>
      <c r="J23" s="267">
        <v>7.5499999999999998E-2</v>
      </c>
      <c r="K23" s="267">
        <v>7.5499999999999998E-2</v>
      </c>
      <c r="L23" s="267">
        <v>7.5499999999999998E-2</v>
      </c>
      <c r="M23" s="153">
        <f t="shared" si="1"/>
        <v>0</v>
      </c>
    </row>
    <row r="24" spans="1:14">
      <c r="A24" s="155"/>
      <c r="B24" s="150" t="s">
        <v>134</v>
      </c>
      <c r="C24" s="280">
        <v>0</v>
      </c>
      <c r="D24" s="267">
        <v>0</v>
      </c>
      <c r="E24" s="267">
        <v>0</v>
      </c>
      <c r="F24" s="267">
        <v>0</v>
      </c>
      <c r="G24" s="267">
        <v>0</v>
      </c>
      <c r="H24" s="267">
        <v>0</v>
      </c>
      <c r="I24" s="267">
        <v>0</v>
      </c>
      <c r="J24" s="267">
        <v>0</v>
      </c>
      <c r="K24" s="267">
        <v>0</v>
      </c>
      <c r="L24" s="267">
        <v>0</v>
      </c>
      <c r="M24" s="284">
        <f t="shared" si="1"/>
        <v>0.06</v>
      </c>
    </row>
    <row r="25" spans="1:14">
      <c r="A25" s="155"/>
      <c r="B25" s="150" t="s">
        <v>190</v>
      </c>
      <c r="C25" s="280">
        <v>2.2000000000000001E-3</v>
      </c>
      <c r="D25" s="267">
        <v>2.3900000000000001E-2</v>
      </c>
      <c r="E25" s="267">
        <v>1.6799999999999999E-2</v>
      </c>
      <c r="F25" s="267">
        <v>3.7199999999999997E-2</v>
      </c>
      <c r="G25" s="267">
        <v>2.86E-2</v>
      </c>
      <c r="H25" s="267">
        <v>5.9200000000000003E-2</v>
      </c>
      <c r="I25" s="267">
        <v>3.61E-2</v>
      </c>
      <c r="J25" s="267">
        <v>3.61E-2</v>
      </c>
      <c r="K25" s="267">
        <v>3.61E-2</v>
      </c>
      <c r="L25" s="267">
        <v>3.61E-2</v>
      </c>
      <c r="M25" s="153">
        <f t="shared" si="1"/>
        <v>0</v>
      </c>
    </row>
    <row r="26" spans="1:14">
      <c r="A26" s="156"/>
      <c r="B26" s="150" t="s">
        <v>135</v>
      </c>
      <c r="C26" s="280">
        <v>0</v>
      </c>
      <c r="D26" s="267">
        <v>0</v>
      </c>
      <c r="E26" s="267">
        <v>0</v>
      </c>
      <c r="F26" s="267">
        <v>0</v>
      </c>
      <c r="G26" s="267">
        <v>0</v>
      </c>
      <c r="H26" s="267">
        <v>0</v>
      </c>
      <c r="I26" s="267">
        <v>0</v>
      </c>
      <c r="J26" s="267">
        <v>0</v>
      </c>
      <c r="K26" s="267">
        <v>0</v>
      </c>
      <c r="L26" s="267">
        <v>0</v>
      </c>
      <c r="M26" s="153">
        <f t="shared" si="1"/>
        <v>0</v>
      </c>
    </row>
    <row r="57" spans="1:13" ht="10.5" customHeight="1"/>
    <row r="58" spans="1:13" ht="10.5" customHeight="1"/>
    <row r="59" spans="1:13" ht="10.5" customHeight="1"/>
    <row r="60" spans="1:13" ht="10.5" customHeight="1"/>
    <row r="61" spans="1:13" ht="26.25">
      <c r="A61" s="526" t="s">
        <v>456</v>
      </c>
      <c r="C61" s="105"/>
      <c r="D61" s="105"/>
      <c r="E61" s="105"/>
      <c r="F61" s="105"/>
      <c r="G61" s="105"/>
      <c r="I61" s="105"/>
      <c r="J61" s="105"/>
      <c r="K61" s="105"/>
      <c r="L61" s="105"/>
      <c r="M61" s="105"/>
    </row>
    <row r="62" spans="1:13" ht="26.25">
      <c r="A62" s="111"/>
      <c r="B62" s="105"/>
      <c r="C62" s="105"/>
      <c r="D62" s="105"/>
      <c r="E62" s="105"/>
      <c r="F62" s="105"/>
      <c r="G62" s="105"/>
      <c r="H62" s="528" t="str">
        <f>+CONCATENATE("Partida ",A65,": ",B65)</f>
        <v>Partida (2): 8504.21.90.00</v>
      </c>
      <c r="I62" s="530"/>
      <c r="J62" s="530"/>
      <c r="K62" s="530"/>
      <c r="L62" s="530"/>
      <c r="M62" s="530"/>
    </row>
    <row r="63" spans="1:13" ht="21" customHeight="1">
      <c r="A63" s="111"/>
      <c r="B63" s="496" t="s">
        <v>188</v>
      </c>
      <c r="C63" s="497" t="s">
        <v>389</v>
      </c>
      <c r="D63" s="497" t="s">
        <v>466</v>
      </c>
      <c r="E63" s="498"/>
      <c r="F63" s="499" t="s">
        <v>136</v>
      </c>
      <c r="G63" s="105"/>
      <c r="H63" s="105"/>
      <c r="I63" s="105"/>
      <c r="J63" s="105"/>
      <c r="K63" s="105"/>
      <c r="L63" s="105"/>
      <c r="M63" s="105"/>
    </row>
    <row r="64" spans="1:13" ht="15">
      <c r="A64" s="527" t="s">
        <v>457</v>
      </c>
      <c r="B64" s="500" t="s">
        <v>131</v>
      </c>
      <c r="C64" s="501">
        <v>0</v>
      </c>
      <c r="D64" s="502">
        <v>0</v>
      </c>
      <c r="E64" s="498"/>
      <c r="F64" s="500">
        <v>8471300000</v>
      </c>
      <c r="G64" s="105"/>
      <c r="H64" s="105"/>
      <c r="I64" s="105"/>
      <c r="J64" s="105"/>
      <c r="K64" s="105"/>
      <c r="L64" s="105"/>
      <c r="M64" s="105"/>
    </row>
    <row r="65" spans="1:13" ht="15">
      <c r="A65" s="527" t="s">
        <v>458</v>
      </c>
      <c r="B65" s="500" t="s">
        <v>189</v>
      </c>
      <c r="C65" s="501">
        <v>0</v>
      </c>
      <c r="D65" s="502">
        <v>0</v>
      </c>
      <c r="E65" s="498"/>
      <c r="F65" s="500">
        <v>8504219000</v>
      </c>
      <c r="G65" s="105"/>
      <c r="H65" s="105"/>
      <c r="I65" s="105"/>
      <c r="J65" s="105"/>
      <c r="K65" s="105"/>
      <c r="L65" s="105"/>
      <c r="M65" s="105"/>
    </row>
    <row r="66" spans="1:13" ht="15">
      <c r="A66" s="527" t="s">
        <v>459</v>
      </c>
      <c r="B66" s="503" t="s">
        <v>132</v>
      </c>
      <c r="C66" s="501">
        <v>0</v>
      </c>
      <c r="D66" s="502">
        <v>0</v>
      </c>
      <c r="E66" s="498"/>
      <c r="F66" s="500">
        <v>8517110000</v>
      </c>
      <c r="G66" s="105"/>
      <c r="H66" s="105"/>
      <c r="I66" s="105"/>
      <c r="J66" s="105"/>
      <c r="K66" s="105"/>
      <c r="L66" s="105"/>
      <c r="M66" s="105"/>
    </row>
    <row r="67" spans="1:13" ht="15">
      <c r="A67" s="527" t="s">
        <v>460</v>
      </c>
      <c r="B67" s="500" t="s">
        <v>133</v>
      </c>
      <c r="C67" s="501">
        <v>0</v>
      </c>
      <c r="D67" s="502">
        <v>0</v>
      </c>
      <c r="E67" s="498"/>
      <c r="F67" s="500">
        <v>8535300000</v>
      </c>
      <c r="G67" s="105"/>
      <c r="H67" s="105"/>
      <c r="I67" s="105"/>
      <c r="J67" s="105"/>
      <c r="K67" s="105"/>
      <c r="L67" s="105"/>
      <c r="M67" s="105"/>
    </row>
    <row r="68" spans="1:13" ht="15">
      <c r="A68" s="527" t="s">
        <v>461</v>
      </c>
      <c r="B68" s="500" t="s">
        <v>134</v>
      </c>
      <c r="C68" s="501">
        <v>0.09</v>
      </c>
      <c r="D68" s="504">
        <v>0.06</v>
      </c>
      <c r="E68" s="498"/>
      <c r="F68" s="500">
        <v>8539320000</v>
      </c>
      <c r="G68" s="105"/>
      <c r="H68" s="397"/>
      <c r="I68" s="105"/>
      <c r="J68" s="105"/>
      <c r="K68" s="105"/>
      <c r="L68" s="105"/>
      <c r="M68" s="105"/>
    </row>
    <row r="69" spans="1:13" ht="15">
      <c r="A69" s="527" t="s">
        <v>462</v>
      </c>
      <c r="B69" s="500" t="s">
        <v>190</v>
      </c>
      <c r="C69" s="501">
        <v>0</v>
      </c>
      <c r="D69" s="502">
        <v>0</v>
      </c>
      <c r="E69" s="498"/>
      <c r="F69" s="500">
        <v>8704211010</v>
      </c>
      <c r="G69" s="105"/>
      <c r="H69" s="105"/>
      <c r="I69" s="105"/>
      <c r="J69" s="105"/>
      <c r="K69" s="105"/>
      <c r="L69" s="105"/>
      <c r="M69" s="105"/>
    </row>
    <row r="70" spans="1:13" ht="15">
      <c r="A70" s="527" t="s">
        <v>463</v>
      </c>
      <c r="B70" s="500" t="s">
        <v>135</v>
      </c>
      <c r="C70" s="501">
        <v>0</v>
      </c>
      <c r="D70" s="502">
        <v>0</v>
      </c>
      <c r="E70" s="498"/>
      <c r="F70" s="500">
        <v>9028301000</v>
      </c>
      <c r="G70" s="105"/>
      <c r="H70" s="105"/>
      <c r="I70" s="105"/>
      <c r="J70" s="105"/>
      <c r="K70" s="105"/>
      <c r="L70" s="105"/>
      <c r="M70" s="105"/>
    </row>
    <row r="71" spans="1:13" ht="15">
      <c r="A71" s="527" t="s">
        <v>464</v>
      </c>
      <c r="B71" s="500" t="s">
        <v>404</v>
      </c>
      <c r="C71" s="501">
        <v>0</v>
      </c>
      <c r="D71" s="502">
        <v>0</v>
      </c>
      <c r="E71" s="498"/>
      <c r="F71" s="500">
        <v>7413000000</v>
      </c>
      <c r="G71" s="105"/>
      <c r="H71" s="105"/>
      <c r="I71" s="105"/>
      <c r="J71" s="105"/>
      <c r="K71" s="105"/>
      <c r="L71" s="105"/>
      <c r="M71" s="105"/>
    </row>
    <row r="72" spans="1:13" ht="15">
      <c r="A72" s="527" t="s">
        <v>465</v>
      </c>
      <c r="B72" s="500" t="s">
        <v>405</v>
      </c>
      <c r="C72" s="501">
        <v>0</v>
      </c>
      <c r="D72" s="502">
        <v>0</v>
      </c>
      <c r="E72" s="498"/>
      <c r="F72" s="500">
        <v>7614900000</v>
      </c>
      <c r="G72" s="105"/>
      <c r="H72" s="105"/>
      <c r="I72" s="105"/>
      <c r="K72" s="105"/>
      <c r="L72" s="105"/>
      <c r="M72" s="105"/>
    </row>
    <row r="73" spans="1:13" ht="15">
      <c r="A73" s="107"/>
      <c r="B73" s="505" t="s">
        <v>388</v>
      </c>
      <c r="C73" s="498"/>
      <c r="D73" s="498"/>
      <c r="E73" s="498"/>
      <c r="F73" s="506"/>
      <c r="G73" s="105"/>
      <c r="H73" s="105"/>
      <c r="I73" s="105"/>
      <c r="J73" s="105"/>
      <c r="K73" s="105"/>
      <c r="L73" s="105"/>
      <c r="M73" s="105"/>
    </row>
    <row r="74" spans="1:13">
      <c r="A74" s="108"/>
      <c r="B74" s="105"/>
      <c r="C74" s="105"/>
      <c r="D74" s="105"/>
      <c r="E74" s="105"/>
      <c r="F74" s="269"/>
      <c r="G74" s="105"/>
      <c r="H74" s="105"/>
      <c r="I74" s="105"/>
      <c r="J74" s="105"/>
      <c r="K74" s="105"/>
      <c r="L74" s="105"/>
      <c r="M74" s="105"/>
    </row>
    <row r="75" spans="1:13">
      <c r="A75" s="109"/>
      <c r="B75" s="105"/>
      <c r="C75" s="105"/>
      <c r="D75" s="105"/>
      <c r="E75" s="105"/>
      <c r="F75" s="269"/>
      <c r="G75" s="105"/>
      <c r="H75" s="105"/>
      <c r="I75" s="105"/>
      <c r="J75" s="105"/>
      <c r="K75" s="105"/>
      <c r="L75" s="105"/>
      <c r="M75" s="105"/>
    </row>
    <row r="76" spans="1:13">
      <c r="A76" s="109"/>
      <c r="B76" s="105"/>
      <c r="C76" s="105"/>
      <c r="D76" s="105"/>
      <c r="E76" s="105"/>
      <c r="F76" s="269"/>
      <c r="G76" s="105"/>
      <c r="H76" s="105"/>
      <c r="I76" s="105"/>
      <c r="J76" s="105"/>
      <c r="K76" s="105"/>
      <c r="L76" s="105"/>
      <c r="M76" s="105"/>
    </row>
    <row r="77" spans="1:13">
      <c r="A77" s="110"/>
      <c r="B77" s="105"/>
      <c r="C77" s="105"/>
      <c r="D77" s="105"/>
      <c r="E77" s="105"/>
      <c r="F77" s="269"/>
      <c r="G77" s="105"/>
      <c r="H77" s="105"/>
      <c r="I77" s="105"/>
      <c r="J77" s="105"/>
      <c r="K77" s="105"/>
      <c r="L77" s="105"/>
      <c r="M77" s="105"/>
    </row>
    <row r="78" spans="1:13">
      <c r="A78" s="106"/>
      <c r="B78" s="105"/>
      <c r="C78" s="105"/>
      <c r="D78" s="105"/>
      <c r="E78" s="105"/>
      <c r="F78" s="269"/>
      <c r="G78" s="105"/>
      <c r="H78" s="105"/>
      <c r="I78" s="105"/>
      <c r="J78" s="105"/>
      <c r="K78" s="105"/>
      <c r="L78" s="105"/>
      <c r="M78" s="105"/>
    </row>
    <row r="79" spans="1:13">
      <c r="A79" s="106"/>
      <c r="B79" s="105"/>
      <c r="C79" s="105"/>
      <c r="D79" s="105"/>
      <c r="E79" s="105"/>
      <c r="F79" s="269"/>
      <c r="G79" s="105"/>
      <c r="H79" s="105"/>
      <c r="I79" s="105"/>
      <c r="J79" s="105"/>
      <c r="K79" s="105"/>
      <c r="L79" s="105"/>
      <c r="M79" s="105"/>
    </row>
    <row r="80" spans="1:13">
      <c r="A80" s="106"/>
      <c r="B80" s="105"/>
      <c r="C80" s="105"/>
      <c r="D80" s="105"/>
      <c r="E80" s="105"/>
      <c r="F80" s="269"/>
      <c r="G80" s="105"/>
      <c r="H80" s="105"/>
      <c r="I80" s="105"/>
      <c r="J80" s="105"/>
      <c r="K80" s="105"/>
      <c r="L80" s="105"/>
      <c r="M80" s="105"/>
    </row>
    <row r="81" spans="1:13">
      <c r="A81" s="106"/>
      <c r="B81" s="105"/>
      <c r="C81" s="105"/>
      <c r="D81" s="105"/>
      <c r="E81" s="105"/>
      <c r="F81" s="269"/>
      <c r="G81" s="105"/>
      <c r="H81" s="105"/>
      <c r="I81" s="105"/>
      <c r="J81" s="105"/>
      <c r="K81" s="105"/>
      <c r="L81" s="105"/>
      <c r="M81" s="105"/>
    </row>
    <row r="82" spans="1:13">
      <c r="A82" s="106"/>
      <c r="B82" s="105"/>
      <c r="C82" s="105"/>
      <c r="D82" s="105"/>
      <c r="E82" s="105"/>
      <c r="F82" s="269"/>
      <c r="G82" s="105"/>
      <c r="H82" s="105"/>
      <c r="I82" s="105"/>
      <c r="J82" s="105"/>
      <c r="K82" s="105"/>
      <c r="L82" s="105"/>
      <c r="M82" s="105"/>
    </row>
    <row r="83" spans="1:13">
      <c r="A83" s="106"/>
      <c r="B83" s="105"/>
      <c r="C83" s="105"/>
      <c r="D83" s="105"/>
      <c r="E83" s="105"/>
      <c r="F83" s="105"/>
      <c r="G83" s="105"/>
      <c r="H83" s="105"/>
      <c r="I83" s="105"/>
      <c r="J83" s="105"/>
      <c r="K83" s="105"/>
      <c r="L83" s="105"/>
      <c r="M83" s="105"/>
    </row>
    <row r="84" spans="1:13">
      <c r="A84" s="106"/>
      <c r="B84" s="105"/>
      <c r="C84" s="105"/>
      <c r="D84" s="105"/>
      <c r="E84" s="105"/>
      <c r="F84" s="105"/>
      <c r="G84" s="105"/>
      <c r="H84" s="105"/>
      <c r="I84" s="105"/>
      <c r="J84" s="105"/>
      <c r="K84" s="105"/>
      <c r="L84" s="105"/>
      <c r="M84" s="105"/>
    </row>
    <row r="85" spans="1:13">
      <c r="A85" s="106"/>
      <c r="B85" s="105"/>
      <c r="C85" s="105"/>
      <c r="D85" s="105"/>
      <c r="E85" s="105"/>
      <c r="F85" s="105"/>
      <c r="G85" s="105"/>
      <c r="H85" s="105"/>
      <c r="I85" s="105"/>
      <c r="J85" s="105"/>
      <c r="K85" s="105"/>
      <c r="L85" s="105"/>
      <c r="M85" s="105"/>
    </row>
    <row r="86" spans="1:13" ht="26.25">
      <c r="A86" s="526"/>
      <c r="B86" s="105"/>
      <c r="C86" s="105"/>
      <c r="D86" s="105"/>
      <c r="E86" s="105"/>
      <c r="F86" s="105"/>
      <c r="G86" s="105"/>
      <c r="H86" s="105"/>
      <c r="I86" s="105"/>
      <c r="J86" s="105"/>
      <c r="K86" s="105"/>
      <c r="L86" s="105"/>
      <c r="M86" s="105"/>
    </row>
    <row r="87" spans="1:13">
      <c r="A87" s="107"/>
      <c r="B87" s="105"/>
      <c r="C87" s="105"/>
      <c r="D87" s="105"/>
      <c r="E87" s="105"/>
      <c r="F87" s="105"/>
      <c r="G87" s="105"/>
      <c r="H87" s="105"/>
      <c r="I87" s="105"/>
      <c r="J87" s="105"/>
      <c r="K87" s="105"/>
      <c r="L87" s="105"/>
      <c r="M87" s="105"/>
    </row>
    <row r="88" spans="1:13" ht="26.25">
      <c r="A88" s="528" t="str">
        <f>+CONCATENATE("Partida ",A64,": ",B64)</f>
        <v>Partida (1): 8471.30.00.00</v>
      </c>
      <c r="B88" s="529"/>
      <c r="C88" s="530"/>
      <c r="D88" s="530"/>
      <c r="E88" s="530"/>
      <c r="F88" s="530"/>
      <c r="G88" s="105"/>
      <c r="H88" s="528" t="str">
        <f>+CONCATENATE("Partida ",A66,": ",B66)</f>
        <v>Partida (3): 8517.11.00.00</v>
      </c>
      <c r="I88" s="530"/>
      <c r="J88" s="530"/>
      <c r="K88" s="530"/>
      <c r="L88" s="530"/>
      <c r="M88" s="530"/>
    </row>
    <row r="89" spans="1:13">
      <c r="A89" s="107"/>
      <c r="B89" s="105"/>
      <c r="C89" s="105"/>
      <c r="D89" s="105"/>
      <c r="E89" s="105"/>
      <c r="F89" s="105"/>
      <c r="G89" s="105"/>
      <c r="H89" s="105"/>
      <c r="I89" s="105"/>
      <c r="J89" s="105"/>
      <c r="K89" s="105"/>
      <c r="L89" s="105"/>
      <c r="M89" s="105"/>
    </row>
    <row r="90" spans="1:13">
      <c r="A90" s="107"/>
      <c r="B90" s="105"/>
      <c r="C90" s="105"/>
      <c r="D90" s="105"/>
      <c r="E90" s="105"/>
      <c r="F90" s="105"/>
      <c r="G90" s="105"/>
      <c r="H90" s="105"/>
      <c r="I90" s="105"/>
      <c r="J90" s="105"/>
      <c r="K90" s="105"/>
      <c r="L90" s="105"/>
      <c r="M90" s="105"/>
    </row>
    <row r="91" spans="1:13">
      <c r="A91" s="107"/>
      <c r="B91" s="105"/>
      <c r="C91" s="105"/>
      <c r="D91" s="105"/>
      <c r="E91" s="105"/>
      <c r="F91" s="105"/>
      <c r="G91" s="105"/>
      <c r="H91" s="105"/>
      <c r="I91" s="105"/>
      <c r="J91" s="105"/>
      <c r="K91" s="105"/>
      <c r="L91" s="105"/>
      <c r="M91" s="105"/>
    </row>
    <row r="92" spans="1:13">
      <c r="A92" s="107"/>
      <c r="B92" s="105"/>
      <c r="C92" s="397"/>
      <c r="D92" s="105"/>
      <c r="E92" s="105"/>
      <c r="F92" s="105"/>
      <c r="G92" s="105"/>
      <c r="H92" s="105"/>
      <c r="I92" s="105"/>
      <c r="J92" s="105"/>
      <c r="K92" s="105"/>
      <c r="L92" s="105"/>
      <c r="M92" s="105"/>
    </row>
    <row r="93" spans="1:13">
      <c r="A93" s="107"/>
      <c r="B93" s="105"/>
      <c r="C93" s="105"/>
      <c r="D93" s="105"/>
      <c r="E93" s="105"/>
      <c r="F93" s="105"/>
      <c r="G93" s="105"/>
      <c r="H93" s="105"/>
      <c r="I93" s="105"/>
      <c r="J93" s="105"/>
      <c r="K93" s="105"/>
      <c r="L93" s="105"/>
      <c r="M93" s="105"/>
    </row>
    <row r="94" spans="1:13">
      <c r="A94" s="107"/>
      <c r="B94" s="105"/>
      <c r="C94" s="105"/>
      <c r="D94" s="105"/>
      <c r="E94" s="105"/>
      <c r="F94" s="105"/>
      <c r="G94" s="105"/>
      <c r="H94" s="105"/>
      <c r="I94" s="105"/>
      <c r="J94" s="105"/>
      <c r="K94" s="105"/>
      <c r="L94" s="105"/>
      <c r="M94" s="105"/>
    </row>
    <row r="95" spans="1:13">
      <c r="A95" s="108"/>
      <c r="B95" s="105"/>
      <c r="C95" s="105"/>
      <c r="D95" s="105"/>
      <c r="E95" s="105"/>
      <c r="F95" s="105"/>
      <c r="G95" s="105"/>
      <c r="H95" s="105"/>
      <c r="I95" s="105"/>
      <c r="J95" s="105"/>
      <c r="K95" s="105"/>
      <c r="L95" s="105"/>
      <c r="M95" s="105"/>
    </row>
    <row r="96" spans="1:13">
      <c r="A96" s="111"/>
      <c r="B96" s="105"/>
      <c r="C96" s="105"/>
      <c r="D96" s="105"/>
      <c r="E96" s="105"/>
      <c r="F96" s="105"/>
      <c r="G96" s="105"/>
      <c r="H96" s="105"/>
      <c r="I96" s="105"/>
      <c r="J96" s="105"/>
      <c r="K96" s="105"/>
      <c r="L96" s="105"/>
      <c r="M96" s="105"/>
    </row>
    <row r="97" spans="1:13">
      <c r="A97" s="111"/>
      <c r="B97" s="105"/>
      <c r="C97" s="105"/>
      <c r="D97" s="105"/>
      <c r="E97" s="105"/>
      <c r="F97" s="105"/>
      <c r="G97" s="105"/>
      <c r="H97" s="105"/>
      <c r="I97" s="105"/>
      <c r="J97" s="105"/>
      <c r="K97" s="105"/>
      <c r="L97" s="105"/>
      <c r="M97" s="105"/>
    </row>
    <row r="98" spans="1:13">
      <c r="A98" s="111"/>
      <c r="B98" s="105"/>
      <c r="C98" s="105"/>
      <c r="D98" s="105"/>
      <c r="E98" s="105"/>
      <c r="F98" s="105"/>
      <c r="G98" s="105"/>
      <c r="H98" s="105"/>
      <c r="I98" s="105"/>
      <c r="J98" s="105"/>
      <c r="K98" s="105"/>
      <c r="L98" s="105"/>
      <c r="M98" s="105"/>
    </row>
    <row r="99" spans="1:13">
      <c r="A99" s="111"/>
      <c r="B99" s="105"/>
      <c r="C99" s="105"/>
      <c r="D99" s="105"/>
      <c r="E99" s="105"/>
      <c r="F99" s="105"/>
      <c r="G99" s="105"/>
      <c r="H99" s="105"/>
      <c r="I99" s="105"/>
      <c r="J99" s="105"/>
      <c r="K99" s="105"/>
      <c r="L99" s="105"/>
      <c r="M99" s="105"/>
    </row>
    <row r="100" spans="1:13">
      <c r="A100" s="111"/>
      <c r="B100" s="105"/>
      <c r="C100" s="105"/>
      <c r="D100" s="105"/>
      <c r="E100" s="105"/>
      <c r="F100" s="105"/>
      <c r="G100" s="105"/>
      <c r="H100" s="105"/>
      <c r="I100" s="105"/>
      <c r="J100" s="105"/>
      <c r="K100" s="105"/>
      <c r="L100" s="105"/>
      <c r="M100" s="105"/>
    </row>
    <row r="101" spans="1:13">
      <c r="A101" s="111"/>
      <c r="B101" s="105"/>
      <c r="C101" s="105"/>
      <c r="D101" s="105"/>
      <c r="E101" s="105"/>
      <c r="F101" s="105"/>
      <c r="G101" s="105"/>
      <c r="H101" s="105"/>
      <c r="I101" s="105"/>
      <c r="J101" s="105"/>
      <c r="K101" s="105"/>
      <c r="L101" s="105"/>
      <c r="M101" s="105"/>
    </row>
    <row r="102" spans="1:13">
      <c r="A102" s="111"/>
      <c r="B102" s="105"/>
      <c r="C102" s="105"/>
      <c r="D102" s="105"/>
      <c r="E102" s="105"/>
      <c r="F102" s="105"/>
      <c r="G102" s="105"/>
      <c r="H102" s="105"/>
      <c r="I102" s="105"/>
      <c r="J102" s="105"/>
      <c r="K102" s="105"/>
      <c r="L102" s="105"/>
      <c r="M102" s="105"/>
    </row>
    <row r="103" spans="1:13">
      <c r="A103" s="111"/>
      <c r="B103" s="105"/>
      <c r="C103" s="105"/>
      <c r="D103" s="105"/>
      <c r="E103" s="105"/>
      <c r="F103" s="105"/>
      <c r="G103" s="105"/>
      <c r="H103" s="105"/>
      <c r="I103" s="105"/>
      <c r="J103" s="105"/>
      <c r="K103" s="105"/>
      <c r="L103" s="105"/>
      <c r="M103" s="105"/>
    </row>
    <row r="104" spans="1:13">
      <c r="A104" s="111"/>
      <c r="B104" s="105"/>
      <c r="C104" s="105"/>
      <c r="D104" s="105"/>
      <c r="E104" s="105"/>
      <c r="F104" s="105"/>
      <c r="G104" s="105"/>
      <c r="H104" s="105"/>
      <c r="I104" s="105"/>
      <c r="J104" s="105"/>
      <c r="K104" s="105"/>
      <c r="L104" s="105"/>
      <c r="M104" s="105"/>
    </row>
    <row r="105" spans="1:13">
      <c r="A105" s="111"/>
      <c r="B105" s="105"/>
      <c r="C105" s="105"/>
      <c r="D105" s="105"/>
      <c r="E105" s="105"/>
      <c r="F105" s="105"/>
      <c r="G105" s="105"/>
      <c r="H105" s="105"/>
      <c r="I105" s="105"/>
      <c r="J105" s="105"/>
      <c r="K105" s="105"/>
      <c r="L105" s="105"/>
      <c r="M105" s="105"/>
    </row>
    <row r="106" spans="1:13">
      <c r="A106" s="111"/>
      <c r="B106" s="105"/>
      <c r="C106" s="105"/>
      <c r="D106" s="105"/>
      <c r="E106" s="105"/>
      <c r="F106" s="105"/>
      <c r="G106" s="105"/>
      <c r="H106" s="105"/>
      <c r="I106" s="105"/>
      <c r="J106" s="105"/>
      <c r="K106" s="105"/>
      <c r="L106" s="105"/>
      <c r="M106" s="105"/>
    </row>
    <row r="107" spans="1:13">
      <c r="A107" s="111"/>
      <c r="B107" s="105"/>
      <c r="C107" s="105"/>
      <c r="D107" s="105"/>
      <c r="E107" s="105"/>
      <c r="F107" s="105"/>
      <c r="G107" s="105"/>
      <c r="H107" s="105"/>
      <c r="I107" s="105"/>
      <c r="J107" s="105"/>
      <c r="K107" s="105"/>
      <c r="L107" s="105"/>
      <c r="M107" s="105"/>
    </row>
    <row r="108" spans="1:13">
      <c r="A108" s="111"/>
      <c r="B108" s="105"/>
      <c r="C108" s="105"/>
      <c r="D108" s="105"/>
      <c r="E108" s="105"/>
      <c r="F108" s="105"/>
      <c r="G108" s="105"/>
      <c r="H108" s="105"/>
      <c r="I108" s="105"/>
      <c r="J108" s="105"/>
      <c r="K108" s="105"/>
      <c r="L108" s="105"/>
      <c r="M108" s="105"/>
    </row>
    <row r="109" spans="1:13">
      <c r="A109" s="111"/>
      <c r="B109" s="105"/>
      <c r="C109" s="105"/>
      <c r="D109" s="105"/>
      <c r="E109" s="105"/>
      <c r="F109" s="105"/>
      <c r="G109" s="105"/>
      <c r="H109" s="105"/>
      <c r="I109" s="105"/>
      <c r="J109" s="105"/>
      <c r="K109" s="105"/>
      <c r="L109" s="105"/>
      <c r="M109" s="105"/>
    </row>
    <row r="110" spans="1:13">
      <c r="A110" s="111"/>
      <c r="B110" s="105"/>
      <c r="C110" s="105"/>
      <c r="D110" s="105"/>
      <c r="E110" s="105"/>
      <c r="F110" s="105"/>
      <c r="G110" s="105"/>
      <c r="H110" s="105"/>
      <c r="I110" s="105"/>
      <c r="J110" s="105"/>
      <c r="K110" s="105"/>
      <c r="L110" s="105"/>
      <c r="M110" s="105"/>
    </row>
    <row r="111" spans="1:13">
      <c r="A111" s="111"/>
      <c r="B111" s="105"/>
      <c r="C111" s="105"/>
      <c r="D111" s="105"/>
      <c r="E111" s="105"/>
      <c r="F111" s="105"/>
      <c r="G111" s="105"/>
      <c r="H111" s="105"/>
      <c r="I111" s="105"/>
      <c r="J111" s="105"/>
      <c r="K111" s="105"/>
      <c r="L111" s="105"/>
      <c r="M111" s="105"/>
    </row>
    <row r="112" spans="1:13">
      <c r="A112" s="111"/>
      <c r="B112" s="105"/>
      <c r="C112" s="105"/>
      <c r="D112" s="105"/>
      <c r="E112" s="105"/>
      <c r="F112" s="105"/>
      <c r="G112" s="105"/>
      <c r="H112" s="105"/>
      <c r="I112" s="105"/>
      <c r="J112" s="105"/>
      <c r="K112" s="105"/>
      <c r="L112" s="105"/>
      <c r="M112" s="105"/>
    </row>
    <row r="113" spans="1:13">
      <c r="A113" s="111"/>
      <c r="B113" s="105"/>
      <c r="C113" s="105"/>
      <c r="D113" s="105"/>
      <c r="E113" s="105"/>
      <c r="F113" s="105"/>
      <c r="G113" s="105"/>
      <c r="H113" s="105"/>
      <c r="I113" s="105"/>
      <c r="J113" s="105"/>
      <c r="K113" s="105"/>
      <c r="L113" s="105"/>
      <c r="M113" s="105"/>
    </row>
    <row r="114" spans="1:13">
      <c r="A114" s="111"/>
      <c r="B114" s="105"/>
      <c r="C114" s="105"/>
      <c r="D114" s="105"/>
      <c r="E114" s="105"/>
      <c r="F114" s="105"/>
      <c r="G114" s="105"/>
      <c r="H114" s="105"/>
      <c r="I114" s="105"/>
      <c r="J114" s="105"/>
      <c r="K114" s="105"/>
      <c r="L114" s="105"/>
      <c r="M114" s="105"/>
    </row>
    <row r="115" spans="1:13">
      <c r="A115" s="111"/>
      <c r="B115" s="105"/>
      <c r="C115" s="105"/>
      <c r="D115" s="105"/>
      <c r="E115" s="105"/>
      <c r="F115" s="105"/>
      <c r="G115" s="105"/>
      <c r="H115" s="105"/>
      <c r="I115" s="105"/>
      <c r="J115" s="105"/>
      <c r="K115" s="105"/>
      <c r="L115" s="105"/>
      <c r="M115" s="105"/>
    </row>
    <row r="116" spans="1:13">
      <c r="A116" s="111"/>
      <c r="B116" s="105"/>
      <c r="C116" s="105"/>
      <c r="D116" s="105"/>
      <c r="E116" s="105"/>
      <c r="F116" s="105"/>
      <c r="G116" s="105"/>
      <c r="H116" s="105"/>
      <c r="I116" s="105"/>
      <c r="J116" s="105"/>
      <c r="K116" s="105"/>
      <c r="L116" s="105"/>
      <c r="M116" s="105"/>
    </row>
    <row r="117" spans="1:13" ht="26.25">
      <c r="A117" s="528" t="str">
        <f>+CONCATENATE("Partida ",A67,": ",B67)</f>
        <v>Partida (4): 8535.30.00.00</v>
      </c>
      <c r="B117" s="529"/>
      <c r="C117" s="530"/>
      <c r="D117" s="530"/>
      <c r="E117" s="530"/>
      <c r="F117" s="530"/>
      <c r="G117" s="105"/>
      <c r="H117" s="528" t="str">
        <f>+CONCATENATE("Partida ",A69,": ",B69)</f>
        <v>Partida (6): 8704.21.10.10</v>
      </c>
      <c r="I117" s="529"/>
      <c r="J117" s="530"/>
      <c r="K117" s="530"/>
      <c r="L117" s="530"/>
      <c r="M117" s="530"/>
    </row>
    <row r="118" spans="1:13">
      <c r="A118" s="111"/>
      <c r="B118" s="105"/>
      <c r="C118" s="105"/>
      <c r="D118" s="105"/>
      <c r="E118" s="105"/>
      <c r="F118" s="105"/>
      <c r="G118" s="105"/>
      <c r="H118" s="105"/>
      <c r="I118" s="105"/>
      <c r="J118" s="105"/>
      <c r="K118" s="105"/>
      <c r="L118" s="105"/>
      <c r="M118" s="105"/>
    </row>
    <row r="119" spans="1:13">
      <c r="A119" s="111"/>
      <c r="B119" s="105"/>
      <c r="C119" s="105"/>
      <c r="D119" s="105"/>
      <c r="E119" s="105"/>
      <c r="F119" s="105"/>
      <c r="G119" s="105"/>
      <c r="H119" s="105"/>
      <c r="I119" s="105"/>
      <c r="J119" s="105"/>
      <c r="K119" s="105"/>
      <c r="L119" s="105"/>
      <c r="M119" s="105"/>
    </row>
    <row r="120" spans="1:13">
      <c r="A120" s="111"/>
      <c r="B120" s="105"/>
      <c r="C120" s="105"/>
      <c r="D120" s="105"/>
      <c r="E120" s="105"/>
      <c r="F120" s="105"/>
      <c r="G120" s="105"/>
      <c r="H120" s="105"/>
      <c r="I120" s="105"/>
      <c r="J120" s="105"/>
      <c r="K120" s="105"/>
      <c r="L120" s="105"/>
      <c r="M120" s="105"/>
    </row>
    <row r="121" spans="1:13">
      <c r="A121" s="111"/>
      <c r="B121" s="105"/>
      <c r="C121" s="105"/>
      <c r="D121" s="105"/>
      <c r="E121" s="105"/>
      <c r="F121" s="105"/>
      <c r="G121" s="105"/>
      <c r="H121" s="105"/>
      <c r="I121" s="105"/>
      <c r="J121" s="105"/>
      <c r="K121" s="105"/>
      <c r="L121" s="105"/>
      <c r="M121" s="105"/>
    </row>
    <row r="122" spans="1:13">
      <c r="A122" s="111"/>
      <c r="B122" s="105"/>
      <c r="C122" s="105"/>
      <c r="D122" s="105"/>
      <c r="E122" s="105"/>
      <c r="F122" s="105"/>
      <c r="G122" s="105"/>
      <c r="H122" s="105"/>
      <c r="I122" s="105"/>
      <c r="J122" s="105"/>
      <c r="K122" s="105"/>
      <c r="L122" s="105"/>
      <c r="M122" s="105"/>
    </row>
    <row r="123" spans="1:13">
      <c r="A123" s="111"/>
      <c r="B123" s="105"/>
      <c r="C123" s="105"/>
      <c r="D123" s="105"/>
      <c r="E123" s="105"/>
      <c r="F123" s="105"/>
      <c r="G123" s="105"/>
      <c r="H123" s="105"/>
      <c r="I123" s="105"/>
      <c r="J123" s="105"/>
      <c r="K123" s="105"/>
      <c r="L123" s="105"/>
      <c r="M123" s="105"/>
    </row>
    <row r="124" spans="1:13">
      <c r="A124" s="111"/>
      <c r="B124" s="105"/>
      <c r="C124" s="105"/>
      <c r="D124" s="105"/>
      <c r="E124" s="105"/>
      <c r="F124" s="105"/>
      <c r="G124" s="105"/>
      <c r="H124" s="105"/>
      <c r="I124" s="105"/>
      <c r="J124" s="105"/>
      <c r="K124" s="105"/>
      <c r="L124" s="105"/>
      <c r="M124" s="105"/>
    </row>
    <row r="125" spans="1:13">
      <c r="A125" s="111"/>
      <c r="B125" s="105"/>
      <c r="C125" s="105"/>
      <c r="D125" s="105"/>
      <c r="E125" s="105"/>
      <c r="F125" s="105"/>
      <c r="G125" s="105"/>
      <c r="H125" s="105"/>
      <c r="I125" s="105"/>
      <c r="J125" s="105"/>
      <c r="K125" s="105"/>
      <c r="L125" s="105"/>
      <c r="M125" s="105"/>
    </row>
    <row r="126" spans="1:13">
      <c r="A126" s="111"/>
      <c r="B126" s="105"/>
      <c r="C126" s="105"/>
      <c r="D126" s="105"/>
      <c r="E126" s="105"/>
      <c r="F126" s="105"/>
      <c r="G126" s="105"/>
      <c r="H126" s="105"/>
      <c r="I126" s="105"/>
      <c r="J126" s="105"/>
      <c r="K126" s="105"/>
      <c r="L126" s="105"/>
      <c r="M126" s="105"/>
    </row>
    <row r="127" spans="1:13">
      <c r="A127" s="111"/>
      <c r="B127" s="105"/>
      <c r="C127" s="105"/>
      <c r="D127" s="105"/>
      <c r="E127" s="105"/>
      <c r="F127" s="105"/>
      <c r="G127" s="105"/>
      <c r="H127" s="105"/>
      <c r="I127" s="105"/>
      <c r="J127" s="105"/>
      <c r="K127" s="105"/>
      <c r="L127" s="105"/>
      <c r="M127" s="105"/>
    </row>
    <row r="128" spans="1:13">
      <c r="A128" s="111"/>
      <c r="B128" s="105"/>
      <c r="C128" s="105"/>
      <c r="D128" s="105"/>
      <c r="E128" s="105"/>
      <c r="F128" s="105"/>
      <c r="G128" s="105"/>
      <c r="H128" s="105"/>
      <c r="I128" s="105"/>
      <c r="J128" s="105"/>
      <c r="K128" s="105"/>
      <c r="L128" s="105"/>
      <c r="M128" s="105"/>
    </row>
    <row r="129" spans="1:13">
      <c r="A129" s="111"/>
      <c r="B129" s="105"/>
      <c r="C129" s="105"/>
      <c r="D129" s="105"/>
      <c r="E129" s="105"/>
      <c r="F129" s="105"/>
      <c r="G129" s="105"/>
      <c r="H129" s="105"/>
      <c r="I129" s="105"/>
      <c r="J129" s="105"/>
      <c r="K129" s="105"/>
      <c r="L129" s="105"/>
      <c r="M129" s="105"/>
    </row>
    <row r="130" spans="1:13">
      <c r="A130" s="111"/>
      <c r="B130" s="105"/>
      <c r="C130" s="105"/>
      <c r="D130" s="105"/>
      <c r="E130" s="105"/>
      <c r="F130" s="105"/>
      <c r="G130" s="105"/>
      <c r="H130" s="105"/>
      <c r="I130" s="105"/>
      <c r="J130" s="105"/>
      <c r="K130" s="105"/>
      <c r="L130" s="105"/>
      <c r="M130" s="105"/>
    </row>
    <row r="131" spans="1:13">
      <c r="A131" s="111"/>
      <c r="B131" s="105"/>
      <c r="C131" s="105"/>
      <c r="D131" s="105"/>
      <c r="E131" s="105"/>
      <c r="F131" s="105"/>
      <c r="G131" s="105"/>
      <c r="H131" s="105"/>
      <c r="I131" s="105"/>
      <c r="J131" s="105"/>
      <c r="K131" s="105"/>
      <c r="L131" s="105"/>
      <c r="M131" s="105"/>
    </row>
    <row r="132" spans="1:13">
      <c r="A132" s="111"/>
      <c r="B132" s="105"/>
      <c r="C132" s="105"/>
      <c r="D132" s="105"/>
      <c r="E132" s="105"/>
      <c r="F132" s="105"/>
      <c r="G132" s="105"/>
      <c r="H132" s="105"/>
      <c r="I132" s="105"/>
      <c r="J132" s="105"/>
      <c r="K132" s="105"/>
      <c r="L132" s="105"/>
      <c r="M132" s="105"/>
    </row>
    <row r="133" spans="1:13">
      <c r="A133" s="111"/>
      <c r="B133" s="105"/>
      <c r="C133" s="105"/>
      <c r="D133" s="105"/>
      <c r="E133" s="105"/>
      <c r="F133" s="105"/>
      <c r="G133" s="105"/>
      <c r="H133" s="105"/>
      <c r="I133" s="105"/>
      <c r="J133" s="105"/>
      <c r="K133" s="105"/>
      <c r="L133" s="105"/>
      <c r="M133" s="105"/>
    </row>
    <row r="134" spans="1:13">
      <c r="A134" s="111"/>
      <c r="B134" s="105"/>
      <c r="C134" s="105"/>
      <c r="D134" s="105"/>
      <c r="E134" s="105"/>
      <c r="F134" s="105"/>
      <c r="G134" s="105"/>
      <c r="H134" s="105"/>
      <c r="I134" s="105"/>
      <c r="J134" s="105"/>
      <c r="K134" s="105"/>
      <c r="L134" s="105"/>
      <c r="M134" s="105"/>
    </row>
    <row r="135" spans="1:13">
      <c r="A135" s="111"/>
      <c r="B135" s="105"/>
      <c r="C135" s="105"/>
      <c r="D135" s="105"/>
      <c r="E135" s="105"/>
      <c r="F135" s="105"/>
      <c r="G135" s="105"/>
      <c r="H135" s="105"/>
      <c r="I135" s="105"/>
      <c r="J135" s="105"/>
      <c r="K135" s="105"/>
      <c r="L135" s="105"/>
      <c r="M135" s="105"/>
    </row>
    <row r="136" spans="1:13">
      <c r="A136" s="111"/>
      <c r="B136" s="105"/>
      <c r="C136" s="105"/>
      <c r="D136" s="105"/>
      <c r="E136" s="105"/>
      <c r="F136" s="105"/>
      <c r="G136" s="105"/>
      <c r="H136" s="105"/>
      <c r="I136" s="105"/>
      <c r="J136" s="105"/>
      <c r="K136" s="105"/>
      <c r="L136" s="105"/>
      <c r="M136" s="105"/>
    </row>
    <row r="137" spans="1:13">
      <c r="A137" s="111"/>
      <c r="B137" s="105"/>
      <c r="C137" s="105"/>
      <c r="D137" s="105"/>
      <c r="E137" s="105"/>
      <c r="F137" s="105"/>
      <c r="G137" s="105"/>
      <c r="H137" s="105"/>
      <c r="I137" s="105"/>
      <c r="J137" s="105"/>
      <c r="K137" s="105"/>
      <c r="L137" s="105"/>
      <c r="M137" s="105"/>
    </row>
    <row r="138" spans="1:13">
      <c r="A138" s="111"/>
      <c r="B138" s="105"/>
      <c r="C138" s="105"/>
      <c r="D138" s="105"/>
      <c r="E138" s="105"/>
      <c r="F138" s="105"/>
      <c r="G138" s="105"/>
      <c r="H138" s="105"/>
      <c r="I138" s="105"/>
      <c r="J138" s="105"/>
      <c r="K138" s="105"/>
      <c r="L138" s="105"/>
      <c r="M138" s="105"/>
    </row>
    <row r="139" spans="1:13">
      <c r="A139" s="111"/>
      <c r="B139" s="105"/>
      <c r="C139" s="105"/>
      <c r="D139" s="105"/>
      <c r="E139" s="105"/>
      <c r="F139" s="105"/>
      <c r="G139" s="105"/>
      <c r="H139" s="105"/>
      <c r="I139" s="105"/>
      <c r="J139" s="105"/>
      <c r="K139" s="105"/>
      <c r="L139" s="105"/>
      <c r="M139" s="105"/>
    </row>
    <row r="140" spans="1:13">
      <c r="A140" s="111"/>
      <c r="B140" s="105"/>
      <c r="C140" s="105"/>
      <c r="D140" s="105"/>
      <c r="E140" s="105"/>
      <c r="F140" s="105"/>
      <c r="G140" s="105"/>
      <c r="H140" s="105"/>
      <c r="I140" s="105"/>
      <c r="J140" s="105"/>
      <c r="K140" s="105"/>
      <c r="L140" s="105"/>
      <c r="M140" s="105"/>
    </row>
    <row r="141" spans="1:13">
      <c r="A141" s="111"/>
      <c r="B141" s="105"/>
      <c r="C141" s="105"/>
      <c r="D141" s="105"/>
      <c r="E141" s="105"/>
      <c r="F141" s="105"/>
      <c r="G141" s="105"/>
      <c r="H141" s="105"/>
      <c r="I141" s="105"/>
      <c r="J141" s="105"/>
      <c r="K141" s="105"/>
      <c r="L141" s="105"/>
      <c r="M141" s="105"/>
    </row>
    <row r="142" spans="1:13">
      <c r="A142" s="111"/>
      <c r="B142" s="105"/>
      <c r="C142" s="105"/>
      <c r="D142" s="105"/>
      <c r="E142" s="105"/>
      <c r="F142" s="105"/>
      <c r="G142" s="105"/>
      <c r="H142" s="105"/>
      <c r="I142" s="105"/>
      <c r="J142" s="105"/>
      <c r="K142" s="105"/>
      <c r="L142" s="105"/>
      <c r="M142" s="105"/>
    </row>
    <row r="143" spans="1:13">
      <c r="A143" s="111"/>
      <c r="B143" s="105"/>
      <c r="C143" s="105"/>
      <c r="D143" s="105"/>
      <c r="E143" s="105"/>
      <c r="F143" s="105"/>
      <c r="G143" s="105"/>
      <c r="H143" s="105"/>
      <c r="I143" s="105"/>
      <c r="J143" s="105"/>
      <c r="K143" s="105"/>
      <c r="L143" s="105"/>
      <c r="M143" s="105"/>
    </row>
    <row r="144" spans="1:13">
      <c r="A144" s="111"/>
      <c r="B144" s="105"/>
      <c r="C144" s="105"/>
      <c r="D144" s="105"/>
      <c r="E144" s="105"/>
      <c r="F144" s="105"/>
      <c r="G144" s="105"/>
      <c r="H144" s="105"/>
      <c r="I144" s="105"/>
      <c r="J144" s="105"/>
      <c r="K144" s="105"/>
      <c r="L144" s="105"/>
      <c r="M144" s="105"/>
    </row>
    <row r="145" spans="1:13" ht="26.25">
      <c r="A145" s="528" t="str">
        <f>+CONCATENATE("Partida ",A68,": ",B68)</f>
        <v>Partida (5): 8539.32.00.00</v>
      </c>
      <c r="B145" s="529"/>
      <c r="C145" s="530"/>
      <c r="D145" s="530"/>
      <c r="E145" s="530"/>
      <c r="F145" s="530"/>
      <c r="G145" s="105"/>
      <c r="H145" s="528" t="str">
        <f>+CONCATENATE("Partida ",A70,": ",B70)</f>
        <v>Partida (7): 9028.30.10.00</v>
      </c>
      <c r="I145" s="529"/>
      <c r="J145" s="530"/>
      <c r="K145" s="530"/>
      <c r="L145" s="530"/>
      <c r="M145" s="530"/>
    </row>
    <row r="146" spans="1:13">
      <c r="A146" s="111"/>
      <c r="B146" s="105"/>
      <c r="C146" s="105"/>
      <c r="D146" s="105"/>
      <c r="E146" s="105"/>
      <c r="F146" s="105"/>
      <c r="G146" s="105"/>
      <c r="H146" s="105"/>
      <c r="I146" s="105"/>
      <c r="J146" s="105"/>
      <c r="K146" s="105"/>
      <c r="L146" s="105"/>
      <c r="M146" s="105"/>
    </row>
    <row r="147" spans="1:13">
      <c r="A147" s="111"/>
      <c r="B147" s="105"/>
      <c r="C147" s="105"/>
      <c r="D147" s="105"/>
      <c r="E147" s="105"/>
      <c r="F147" s="105"/>
      <c r="G147" s="105"/>
      <c r="H147" s="105"/>
      <c r="I147" s="105"/>
      <c r="J147" s="105"/>
      <c r="K147" s="105"/>
      <c r="L147" s="105"/>
      <c r="M147" s="105"/>
    </row>
    <row r="148" spans="1:13">
      <c r="A148" s="111"/>
      <c r="B148" s="105"/>
      <c r="C148" s="105"/>
      <c r="D148" s="105"/>
      <c r="E148" s="105"/>
      <c r="F148" s="105"/>
      <c r="G148" s="105"/>
      <c r="H148" s="105"/>
      <c r="I148" s="105"/>
      <c r="J148" s="105"/>
      <c r="K148" s="105"/>
      <c r="L148" s="105"/>
      <c r="M148" s="105"/>
    </row>
    <row r="149" spans="1:13">
      <c r="A149" s="111"/>
      <c r="B149" s="105"/>
      <c r="C149" s="105"/>
      <c r="D149" s="105"/>
      <c r="E149" s="105"/>
      <c r="F149" s="105"/>
      <c r="G149" s="105"/>
      <c r="H149" s="105"/>
      <c r="I149" s="105"/>
      <c r="J149" s="105"/>
      <c r="K149" s="105"/>
      <c r="L149" s="105"/>
      <c r="M149" s="105"/>
    </row>
    <row r="150" spans="1:13">
      <c r="A150" s="111"/>
      <c r="B150" s="105"/>
      <c r="C150" s="105"/>
      <c r="D150" s="105"/>
      <c r="E150" s="105"/>
      <c r="F150" s="105"/>
      <c r="G150" s="105"/>
      <c r="H150" s="105"/>
      <c r="I150" s="105"/>
      <c r="J150" s="105"/>
      <c r="K150" s="105"/>
      <c r="L150" s="105"/>
      <c r="M150" s="105"/>
    </row>
    <row r="151" spans="1:13">
      <c r="A151" s="111"/>
      <c r="B151" s="105"/>
      <c r="C151" s="105"/>
      <c r="D151" s="105"/>
      <c r="E151" s="105"/>
      <c r="F151" s="105"/>
      <c r="G151" s="105"/>
      <c r="H151" s="105"/>
      <c r="I151" s="105"/>
      <c r="J151" s="105"/>
      <c r="K151" s="105"/>
      <c r="L151" s="105"/>
      <c r="M151" s="105"/>
    </row>
    <row r="152" spans="1:13">
      <c r="A152" s="111"/>
      <c r="B152" s="105"/>
      <c r="C152" s="105"/>
      <c r="D152" s="105"/>
      <c r="E152" s="105"/>
      <c r="F152" s="105"/>
      <c r="G152" s="105"/>
      <c r="H152" s="105"/>
      <c r="I152" s="105"/>
      <c r="J152" s="105"/>
      <c r="K152" s="105"/>
      <c r="L152" s="105"/>
      <c r="M152" s="105"/>
    </row>
    <row r="153" spans="1:13">
      <c r="A153" s="111"/>
      <c r="B153" s="105"/>
      <c r="C153" s="105"/>
      <c r="D153" s="105"/>
      <c r="E153" s="105"/>
      <c r="F153" s="105"/>
      <c r="G153" s="105"/>
      <c r="H153" s="105"/>
      <c r="I153" s="105"/>
      <c r="J153" s="105"/>
      <c r="K153" s="105"/>
      <c r="L153" s="105"/>
      <c r="M153" s="105"/>
    </row>
    <row r="154" spans="1:13">
      <c r="A154" s="111"/>
      <c r="B154" s="105"/>
      <c r="C154" s="105"/>
      <c r="D154" s="105"/>
      <c r="E154" s="105"/>
      <c r="F154" s="105"/>
      <c r="G154" s="105"/>
      <c r="H154" s="105"/>
      <c r="I154" s="105"/>
      <c r="J154" s="105"/>
      <c r="K154" s="105"/>
      <c r="L154" s="105"/>
      <c r="M154" s="105"/>
    </row>
    <row r="155" spans="1:13">
      <c r="A155" s="111"/>
      <c r="B155" s="105"/>
      <c r="C155" s="105"/>
      <c r="D155" s="105"/>
      <c r="E155" s="105"/>
      <c r="F155" s="105"/>
      <c r="G155" s="105"/>
      <c r="H155" s="105"/>
      <c r="I155" s="105"/>
      <c r="J155" s="105"/>
      <c r="K155" s="105"/>
      <c r="L155" s="105"/>
      <c r="M155" s="105"/>
    </row>
    <row r="156" spans="1:13">
      <c r="A156" s="111"/>
      <c r="B156" s="105"/>
      <c r="C156" s="105"/>
      <c r="D156" s="105"/>
      <c r="E156" s="105"/>
      <c r="F156" s="105"/>
      <c r="G156" s="105"/>
      <c r="H156" s="105"/>
      <c r="I156" s="105"/>
      <c r="J156" s="105"/>
      <c r="K156" s="105"/>
      <c r="L156" s="105"/>
      <c r="M156" s="105"/>
    </row>
    <row r="157" spans="1:13">
      <c r="A157" s="111"/>
      <c r="B157" s="105"/>
      <c r="C157" s="105"/>
      <c r="D157" s="105"/>
      <c r="E157" s="105"/>
      <c r="F157" s="105"/>
      <c r="G157" s="105"/>
      <c r="H157" s="105"/>
      <c r="I157" s="105"/>
      <c r="J157" s="105"/>
      <c r="K157" s="105"/>
      <c r="L157" s="105"/>
      <c r="M157" s="105"/>
    </row>
    <row r="158" spans="1:13">
      <c r="A158" s="111"/>
      <c r="B158" s="105"/>
      <c r="C158" s="105"/>
      <c r="D158" s="105"/>
      <c r="E158" s="105"/>
      <c r="F158" s="105"/>
      <c r="G158" s="105"/>
      <c r="H158" s="105"/>
      <c r="I158" s="105"/>
      <c r="J158" s="105"/>
      <c r="K158" s="105"/>
      <c r="L158" s="105"/>
      <c r="M158" s="105"/>
    </row>
    <row r="159" spans="1:13">
      <c r="A159" s="111"/>
      <c r="B159" s="105"/>
      <c r="C159" s="105"/>
      <c r="D159" s="105"/>
      <c r="E159" s="105"/>
      <c r="F159" s="105"/>
      <c r="G159" s="105"/>
      <c r="H159" s="105"/>
      <c r="I159" s="105"/>
      <c r="J159" s="105"/>
      <c r="K159" s="105"/>
      <c r="L159" s="105"/>
      <c r="M159" s="105"/>
    </row>
    <row r="160" spans="1:13">
      <c r="A160" s="111"/>
      <c r="B160" s="105"/>
      <c r="C160" s="105"/>
      <c r="D160" s="105"/>
      <c r="E160" s="105"/>
      <c r="F160" s="105"/>
      <c r="G160" s="105"/>
      <c r="H160" s="105"/>
      <c r="I160" s="105"/>
      <c r="J160" s="105"/>
      <c r="K160" s="105"/>
      <c r="L160" s="105"/>
      <c r="M160" s="105"/>
    </row>
    <row r="161" spans="1:13">
      <c r="A161" s="111"/>
      <c r="B161" s="105"/>
      <c r="C161" s="105"/>
      <c r="D161" s="105"/>
      <c r="E161" s="105"/>
      <c r="F161" s="105"/>
      <c r="G161" s="105"/>
      <c r="H161" s="105"/>
      <c r="I161" s="105"/>
      <c r="J161" s="105"/>
      <c r="K161" s="105"/>
      <c r="L161" s="105"/>
      <c r="M161" s="105"/>
    </row>
    <row r="162" spans="1:13">
      <c r="A162" s="111"/>
      <c r="B162" s="105"/>
      <c r="C162" s="105"/>
      <c r="D162" s="105"/>
      <c r="E162" s="105"/>
      <c r="F162" s="105"/>
      <c r="G162" s="105"/>
      <c r="H162" s="105"/>
      <c r="I162" s="105"/>
      <c r="J162" s="105"/>
      <c r="K162" s="105"/>
      <c r="L162" s="105"/>
      <c r="M162" s="105"/>
    </row>
    <row r="163" spans="1:13">
      <c r="A163" s="111"/>
      <c r="B163" s="105"/>
      <c r="C163" s="105"/>
      <c r="D163" s="105"/>
      <c r="E163" s="105"/>
      <c r="F163" s="105"/>
      <c r="G163" s="105"/>
      <c r="H163" s="105"/>
      <c r="I163" s="105"/>
      <c r="J163" s="105"/>
      <c r="K163" s="105"/>
      <c r="L163" s="105"/>
      <c r="M163" s="105"/>
    </row>
    <row r="164" spans="1:13">
      <c r="A164" s="111"/>
      <c r="B164" s="105"/>
      <c r="C164" s="105"/>
      <c r="D164" s="105"/>
      <c r="E164" s="105"/>
      <c r="F164" s="105"/>
      <c r="G164" s="105"/>
      <c r="H164" s="105"/>
      <c r="I164" s="105"/>
      <c r="J164" s="105"/>
      <c r="K164" s="105"/>
      <c r="L164" s="105"/>
      <c r="M164" s="105"/>
    </row>
    <row r="165" spans="1:13">
      <c r="A165" s="111"/>
      <c r="B165" s="105"/>
      <c r="C165" s="105"/>
      <c r="D165" s="105"/>
      <c r="E165" s="105"/>
      <c r="F165" s="105"/>
      <c r="G165" s="105"/>
      <c r="H165" s="105"/>
      <c r="I165" s="105"/>
      <c r="J165" s="105"/>
      <c r="K165" s="105"/>
      <c r="L165" s="105"/>
      <c r="M165" s="105"/>
    </row>
    <row r="166" spans="1:13">
      <c r="A166" s="111"/>
      <c r="B166" s="105"/>
      <c r="C166" s="105"/>
      <c r="D166" s="105"/>
      <c r="E166" s="105"/>
      <c r="F166" s="105"/>
      <c r="G166" s="105"/>
      <c r="H166" s="105"/>
      <c r="I166" s="105"/>
      <c r="J166" s="105"/>
      <c r="K166" s="105"/>
      <c r="L166" s="105"/>
      <c r="M166" s="105"/>
    </row>
    <row r="167" spans="1:13">
      <c r="A167" s="111"/>
      <c r="B167" s="105"/>
      <c r="C167" s="105"/>
      <c r="D167" s="105"/>
      <c r="E167" s="105"/>
      <c r="F167" s="105"/>
      <c r="G167" s="105"/>
      <c r="H167" s="105"/>
      <c r="I167" s="105"/>
      <c r="J167" s="105"/>
      <c r="K167" s="105"/>
      <c r="L167" s="105"/>
      <c r="M167" s="105"/>
    </row>
    <row r="168" spans="1:13">
      <c r="A168" s="111"/>
      <c r="B168" s="105"/>
      <c r="C168" s="105"/>
      <c r="D168" s="105"/>
      <c r="E168" s="105"/>
      <c r="F168" s="105"/>
      <c r="G168" s="105"/>
      <c r="H168" s="105"/>
      <c r="I168" s="105"/>
      <c r="J168" s="105"/>
      <c r="K168" s="105"/>
      <c r="L168" s="105"/>
      <c r="M168" s="105"/>
    </row>
    <row r="169" spans="1:13">
      <c r="A169" s="111"/>
      <c r="B169" s="105"/>
      <c r="C169" s="105"/>
      <c r="D169" s="105"/>
      <c r="E169" s="105"/>
      <c r="F169" s="105"/>
      <c r="G169" s="105"/>
      <c r="H169" s="105"/>
      <c r="I169" s="105"/>
      <c r="J169" s="105"/>
      <c r="K169" s="105"/>
      <c r="L169" s="105"/>
      <c r="M169" s="105"/>
    </row>
    <row r="170" spans="1:13">
      <c r="A170" s="111"/>
      <c r="B170" s="105"/>
      <c r="C170" s="105"/>
      <c r="D170" s="105"/>
      <c r="E170" s="105"/>
      <c r="F170" s="105"/>
      <c r="G170" s="105"/>
      <c r="H170" s="105"/>
      <c r="I170" s="105"/>
      <c r="J170" s="105"/>
      <c r="K170" s="105"/>
      <c r="L170" s="105"/>
      <c r="M170" s="105"/>
    </row>
    <row r="171" spans="1:13">
      <c r="A171" s="111"/>
      <c r="B171" s="105"/>
      <c r="C171" s="105"/>
      <c r="D171" s="105"/>
      <c r="E171" s="105"/>
      <c r="F171" s="105"/>
      <c r="G171" s="105"/>
      <c r="H171" s="105"/>
      <c r="I171" s="105"/>
      <c r="J171" s="105"/>
      <c r="K171" s="105"/>
      <c r="L171" s="105"/>
      <c r="M171" s="105"/>
    </row>
    <row r="172" spans="1:13">
      <c r="A172" s="111"/>
      <c r="B172" s="105"/>
      <c r="C172" s="105"/>
      <c r="D172" s="105"/>
      <c r="E172" s="105"/>
      <c r="F172" s="105"/>
      <c r="G172" s="105"/>
      <c r="H172" s="105"/>
      <c r="I172" s="105"/>
      <c r="J172" s="105"/>
      <c r="K172" s="105"/>
      <c r="L172" s="105"/>
      <c r="M172" s="105"/>
    </row>
    <row r="173" spans="1:13" ht="26.25">
      <c r="A173" s="528" t="str">
        <f>+CONCATENATE("Partida ",A71,": ",B71)</f>
        <v>Partida (8): 7413.00.00.00</v>
      </c>
      <c r="B173" s="529"/>
      <c r="C173" s="530"/>
      <c r="D173" s="530"/>
      <c r="E173" s="530"/>
      <c r="F173" s="530"/>
      <c r="G173" s="105"/>
      <c r="H173" s="528" t="str">
        <f>+CONCATENATE("Partida ",A72,": ",B72)</f>
        <v>Partida (9): 7614.90.00.00</v>
      </c>
      <c r="I173" s="529"/>
      <c r="J173" s="530"/>
      <c r="K173" s="530"/>
      <c r="L173" s="530"/>
      <c r="M173" s="530"/>
    </row>
    <row r="174" spans="1:13">
      <c r="A174" s="111"/>
      <c r="B174" s="105"/>
      <c r="C174" s="105"/>
      <c r="D174" s="105"/>
      <c r="E174" s="105"/>
      <c r="F174" s="105"/>
      <c r="G174" s="105"/>
      <c r="H174" s="105"/>
      <c r="I174" s="105"/>
      <c r="J174" s="105"/>
      <c r="K174" s="105"/>
      <c r="L174" s="105"/>
      <c r="M174" s="105"/>
    </row>
    <row r="175" spans="1:13">
      <c r="A175" s="111"/>
      <c r="B175" s="105"/>
      <c r="C175" s="105"/>
      <c r="D175" s="105"/>
      <c r="E175" s="105"/>
      <c r="F175" s="105"/>
      <c r="G175" s="105"/>
      <c r="H175" s="105"/>
      <c r="I175" s="105"/>
      <c r="J175" s="105"/>
      <c r="K175" s="105"/>
      <c r="L175" s="105"/>
      <c r="M175" s="105"/>
    </row>
    <row r="176" spans="1:13">
      <c r="A176" s="111"/>
      <c r="B176" s="105"/>
      <c r="C176" s="105"/>
      <c r="D176" s="105"/>
      <c r="E176" s="105"/>
      <c r="F176" s="105"/>
      <c r="G176" s="105"/>
      <c r="H176" s="105"/>
      <c r="I176" s="105"/>
      <c r="J176" s="105"/>
      <c r="K176" s="105"/>
      <c r="L176" s="105"/>
      <c r="M176" s="105"/>
    </row>
    <row r="177" spans="1:13">
      <c r="A177" s="111"/>
      <c r="B177" s="105"/>
      <c r="C177" s="105"/>
      <c r="D177" s="105"/>
      <c r="E177" s="105"/>
      <c r="F177" s="105"/>
      <c r="G177" s="105"/>
      <c r="H177" s="105"/>
      <c r="I177" s="105"/>
      <c r="J177" s="105"/>
      <c r="K177" s="105"/>
      <c r="L177" s="105"/>
      <c r="M177" s="105"/>
    </row>
    <row r="178" spans="1:13">
      <c r="A178" s="111"/>
      <c r="B178" s="105"/>
      <c r="C178" s="105"/>
      <c r="D178" s="105"/>
      <c r="E178" s="105"/>
      <c r="F178" s="105"/>
      <c r="G178" s="105"/>
      <c r="H178" s="105"/>
      <c r="I178" s="105"/>
      <c r="J178" s="105"/>
      <c r="K178" s="105"/>
      <c r="L178" s="105"/>
      <c r="M178" s="105"/>
    </row>
    <row r="179" spans="1:13">
      <c r="A179" s="111"/>
      <c r="B179" s="105"/>
      <c r="C179" s="105"/>
      <c r="D179" s="105"/>
      <c r="E179" s="105"/>
      <c r="F179" s="105"/>
      <c r="G179" s="105"/>
      <c r="H179" s="105"/>
      <c r="I179" s="105"/>
      <c r="J179" s="105"/>
      <c r="K179" s="105"/>
      <c r="L179" s="105"/>
      <c r="M179" s="105"/>
    </row>
    <row r="180" spans="1:13">
      <c r="A180" s="111"/>
      <c r="B180" s="105"/>
      <c r="C180" s="105"/>
      <c r="D180" s="105"/>
      <c r="E180" s="105"/>
      <c r="F180" s="105"/>
      <c r="G180" s="105"/>
      <c r="H180" s="105"/>
      <c r="I180" s="105"/>
      <c r="J180" s="105"/>
      <c r="K180" s="105"/>
      <c r="L180" s="105"/>
      <c r="M180" s="105"/>
    </row>
    <row r="181" spans="1:13">
      <c r="A181" s="111"/>
      <c r="B181" s="105"/>
      <c r="C181" s="105"/>
      <c r="D181" s="105"/>
      <c r="E181" s="105"/>
      <c r="F181" s="105"/>
      <c r="G181" s="105"/>
      <c r="H181" s="105"/>
      <c r="I181" s="105"/>
      <c r="J181" s="105"/>
      <c r="K181" s="105"/>
      <c r="L181" s="105"/>
      <c r="M181" s="105"/>
    </row>
    <row r="182" spans="1:13">
      <c r="A182" s="111"/>
      <c r="B182" s="105"/>
      <c r="C182" s="105"/>
      <c r="D182" s="105"/>
      <c r="E182" s="105"/>
      <c r="F182" s="105"/>
      <c r="G182" s="105"/>
      <c r="H182" s="105"/>
      <c r="I182" s="105"/>
      <c r="J182" s="105"/>
      <c r="K182" s="105"/>
      <c r="L182" s="105"/>
      <c r="M182" s="105"/>
    </row>
    <row r="183" spans="1:13">
      <c r="A183" s="111"/>
      <c r="B183" s="105"/>
      <c r="C183" s="105"/>
      <c r="D183" s="105"/>
      <c r="E183" s="105"/>
      <c r="F183" s="105"/>
      <c r="G183" s="105"/>
      <c r="H183" s="105"/>
      <c r="I183" s="105"/>
      <c r="J183" s="105"/>
      <c r="K183" s="105"/>
      <c r="L183" s="105"/>
      <c r="M183" s="105"/>
    </row>
    <row r="184" spans="1:13">
      <c r="A184" s="111"/>
      <c r="B184" s="105"/>
      <c r="C184" s="105"/>
      <c r="D184" s="105"/>
      <c r="E184" s="105"/>
      <c r="F184" s="105"/>
      <c r="G184" s="105"/>
      <c r="H184" s="105"/>
      <c r="I184" s="105"/>
      <c r="J184" s="105"/>
      <c r="K184" s="105"/>
      <c r="L184" s="105"/>
      <c r="M184" s="105"/>
    </row>
    <row r="185" spans="1:13">
      <c r="A185" s="111"/>
      <c r="B185" s="105"/>
      <c r="C185" s="105"/>
      <c r="D185" s="105"/>
      <c r="E185" s="105"/>
      <c r="F185" s="105"/>
      <c r="G185" s="105"/>
      <c r="H185" s="105"/>
      <c r="I185" s="105"/>
      <c r="J185" s="105"/>
      <c r="K185" s="105"/>
      <c r="L185" s="105"/>
      <c r="M185" s="105"/>
    </row>
    <row r="186" spans="1:13">
      <c r="A186" s="111"/>
      <c r="B186" s="105"/>
      <c r="C186" s="105"/>
      <c r="D186" s="105"/>
      <c r="E186" s="105"/>
      <c r="F186" s="105"/>
      <c r="G186" s="105"/>
      <c r="H186" s="105"/>
      <c r="I186" s="105"/>
      <c r="J186" s="105"/>
      <c r="K186" s="105"/>
      <c r="L186" s="105"/>
      <c r="M186" s="105"/>
    </row>
    <row r="187" spans="1:13">
      <c r="A187" s="111"/>
      <c r="B187" s="105"/>
      <c r="C187" s="105"/>
      <c r="D187" s="105"/>
      <c r="E187" s="105"/>
      <c r="F187" s="105"/>
      <c r="G187" s="105"/>
      <c r="H187" s="105"/>
      <c r="I187" s="105"/>
      <c r="J187" s="105"/>
      <c r="K187" s="105"/>
      <c r="L187" s="105"/>
      <c r="M187" s="105"/>
    </row>
    <row r="188" spans="1:13">
      <c r="A188" s="111"/>
      <c r="B188" s="105"/>
      <c r="C188" s="105"/>
      <c r="D188" s="105"/>
      <c r="E188" s="105"/>
      <c r="F188" s="105"/>
      <c r="G188" s="105"/>
      <c r="H188" s="105"/>
      <c r="I188" s="105"/>
      <c r="J188" s="105"/>
      <c r="K188" s="105"/>
      <c r="L188" s="105"/>
      <c r="M188" s="105"/>
    </row>
    <row r="189" spans="1:13">
      <c r="A189" s="111"/>
      <c r="B189" s="105"/>
      <c r="C189" s="105"/>
      <c r="D189" s="105"/>
      <c r="E189" s="105"/>
      <c r="F189" s="105"/>
      <c r="G189" s="105"/>
      <c r="H189" s="105"/>
      <c r="I189" s="105"/>
      <c r="J189" s="105"/>
      <c r="K189" s="105"/>
      <c r="L189" s="105"/>
      <c r="M189" s="105"/>
    </row>
    <row r="190" spans="1:13">
      <c r="A190" s="111"/>
      <c r="B190" s="105"/>
      <c r="C190" s="105"/>
      <c r="D190" s="105"/>
      <c r="E190" s="105"/>
      <c r="F190" s="105"/>
      <c r="G190" s="105"/>
      <c r="H190" s="105"/>
      <c r="I190" s="105"/>
      <c r="J190" s="105"/>
      <c r="K190" s="105"/>
      <c r="L190" s="105"/>
      <c r="M190" s="105"/>
    </row>
    <row r="191" spans="1:13">
      <c r="A191" s="111"/>
      <c r="B191" s="105"/>
      <c r="C191" s="105"/>
      <c r="D191" s="105"/>
      <c r="E191" s="105"/>
      <c r="F191" s="105"/>
      <c r="G191" s="105"/>
      <c r="H191" s="105"/>
      <c r="I191" s="105"/>
      <c r="J191" s="105"/>
      <c r="K191" s="105"/>
      <c r="L191" s="105"/>
      <c r="M191" s="105"/>
    </row>
    <row r="192" spans="1:13">
      <c r="A192" s="111"/>
      <c r="B192" s="105"/>
      <c r="C192" s="105"/>
      <c r="D192" s="105"/>
      <c r="E192" s="105"/>
      <c r="F192" s="105"/>
      <c r="G192" s="105"/>
      <c r="H192" s="105"/>
      <c r="I192" s="105"/>
      <c r="J192" s="105"/>
      <c r="K192" s="105"/>
      <c r="L192" s="105"/>
      <c r="M192" s="105"/>
    </row>
    <row r="193" spans="1:13">
      <c r="A193" s="111"/>
      <c r="B193" s="105"/>
      <c r="C193" s="105"/>
      <c r="D193" s="105"/>
      <c r="E193" s="105"/>
      <c r="F193" s="105"/>
      <c r="G193" s="105"/>
      <c r="H193" s="105"/>
      <c r="I193" s="105"/>
      <c r="J193" s="105"/>
      <c r="K193" s="105"/>
      <c r="L193" s="105"/>
      <c r="M193" s="105"/>
    </row>
    <row r="194" spans="1:13">
      <c r="A194" s="111"/>
      <c r="B194" s="105"/>
      <c r="C194" s="105"/>
      <c r="D194" s="105"/>
      <c r="E194" s="105"/>
      <c r="F194" s="105"/>
      <c r="G194" s="105"/>
      <c r="H194" s="105"/>
      <c r="I194" s="105"/>
      <c r="J194" s="105"/>
      <c r="K194" s="105"/>
      <c r="L194" s="105"/>
      <c r="M194" s="105"/>
    </row>
    <row r="195" spans="1:13">
      <c r="A195" s="111"/>
      <c r="B195" s="105"/>
      <c r="C195" s="105"/>
      <c r="D195" s="105"/>
      <c r="E195" s="105"/>
      <c r="F195" s="105"/>
      <c r="G195" s="105"/>
      <c r="H195" s="105"/>
      <c r="I195" s="105"/>
      <c r="J195" s="105"/>
      <c r="K195" s="105"/>
      <c r="L195" s="105"/>
      <c r="M195" s="105"/>
    </row>
    <row r="196" spans="1:13">
      <c r="A196" s="111"/>
      <c r="B196" s="105"/>
      <c r="C196" s="105"/>
      <c r="D196" s="105"/>
      <c r="E196" s="105"/>
      <c r="F196" s="105"/>
      <c r="G196" s="105"/>
      <c r="H196" s="105"/>
      <c r="I196" s="105"/>
      <c r="J196" s="105"/>
      <c r="K196" s="105"/>
      <c r="L196" s="105"/>
      <c r="M196" s="105"/>
    </row>
    <row r="197" spans="1:13">
      <c r="A197" s="111"/>
      <c r="B197" s="105"/>
      <c r="C197" s="105"/>
      <c r="D197" s="105"/>
      <c r="E197" s="105"/>
      <c r="F197" s="105"/>
      <c r="G197" s="105"/>
      <c r="H197" s="105"/>
      <c r="I197" s="105"/>
      <c r="J197" s="105"/>
      <c r="K197" s="105"/>
      <c r="L197" s="105"/>
      <c r="M197" s="105"/>
    </row>
    <row r="198" spans="1:13">
      <c r="A198" s="111"/>
      <c r="B198" s="105"/>
      <c r="C198" s="105"/>
      <c r="D198" s="105"/>
      <c r="E198" s="105"/>
      <c r="F198" s="105"/>
      <c r="G198" s="105"/>
      <c r="H198" s="105"/>
      <c r="I198" s="105"/>
      <c r="J198" s="105"/>
      <c r="K198" s="105"/>
      <c r="L198" s="105"/>
      <c r="M198" s="105"/>
    </row>
    <row r="199" spans="1:13">
      <c r="A199" s="111"/>
      <c r="B199" s="105"/>
      <c r="C199" s="105"/>
      <c r="D199" s="105"/>
      <c r="E199" s="105"/>
      <c r="F199" s="105"/>
      <c r="G199" s="105"/>
      <c r="H199" s="105"/>
      <c r="I199" s="105"/>
      <c r="J199" s="105"/>
      <c r="K199" s="105"/>
      <c r="L199" s="105"/>
      <c r="M199" s="105"/>
    </row>
    <row r="200" spans="1:13">
      <c r="A200" s="111"/>
      <c r="B200" s="105"/>
      <c r="C200" s="105"/>
      <c r="D200" s="105"/>
      <c r="E200" s="105"/>
      <c r="F200" s="105"/>
      <c r="G200" s="105"/>
      <c r="H200" s="105"/>
      <c r="I200" s="105"/>
      <c r="J200" s="105"/>
      <c r="K200" s="105"/>
      <c r="L200" s="105"/>
      <c r="M200" s="105"/>
    </row>
    <row r="201" spans="1:13">
      <c r="A201" s="111"/>
      <c r="B201" s="105"/>
      <c r="C201" s="105"/>
      <c r="D201" s="105"/>
      <c r="E201" s="105"/>
      <c r="F201" s="105"/>
      <c r="G201" s="105"/>
      <c r="H201" s="105"/>
      <c r="I201" s="105"/>
      <c r="J201" s="105"/>
      <c r="K201" s="105"/>
      <c r="L201" s="105"/>
      <c r="M201" s="105"/>
    </row>
    <row r="202" spans="1:13">
      <c r="A202" s="111"/>
      <c r="B202" s="105"/>
      <c r="C202" s="105"/>
      <c r="D202" s="105"/>
      <c r="E202" s="105"/>
      <c r="F202" s="105"/>
      <c r="G202" s="105"/>
      <c r="H202" s="105"/>
      <c r="I202" s="105"/>
      <c r="J202" s="105"/>
      <c r="K202" s="105"/>
      <c r="L202" s="105"/>
      <c r="M202" s="105"/>
    </row>
    <row r="203" spans="1:13">
      <c r="A203" s="111"/>
      <c r="B203" s="105"/>
      <c r="C203" s="105"/>
      <c r="D203" s="105"/>
      <c r="E203" s="105"/>
      <c r="F203" s="105"/>
      <c r="G203" s="105"/>
      <c r="H203" s="105"/>
      <c r="I203" s="105"/>
      <c r="J203" s="105"/>
      <c r="K203" s="105"/>
      <c r="L203" s="105"/>
      <c r="M203" s="105"/>
    </row>
    <row r="204" spans="1:13">
      <c r="A204" s="111"/>
      <c r="B204" s="105"/>
      <c r="C204" s="105"/>
      <c r="D204" s="105"/>
      <c r="E204" s="105"/>
      <c r="F204" s="105"/>
      <c r="G204" s="105"/>
      <c r="H204" s="105"/>
      <c r="I204" s="105"/>
      <c r="J204" s="105"/>
      <c r="K204" s="105"/>
      <c r="L204" s="105"/>
      <c r="M204" s="105"/>
    </row>
    <row r="205" spans="1:13">
      <c r="A205" s="111"/>
      <c r="B205" s="105"/>
      <c r="C205" s="105"/>
      <c r="D205" s="105"/>
      <c r="E205" s="105"/>
      <c r="F205" s="105"/>
      <c r="G205" s="105"/>
      <c r="H205" s="105"/>
      <c r="I205" s="105"/>
      <c r="J205" s="105"/>
      <c r="K205" s="105"/>
      <c r="L205" s="105"/>
      <c r="M205" s="105"/>
    </row>
    <row r="206" spans="1:13">
      <c r="A206" s="111"/>
      <c r="B206" s="105"/>
      <c r="C206" s="105"/>
      <c r="D206" s="105"/>
      <c r="E206" s="105"/>
      <c r="F206" s="105"/>
      <c r="G206" s="105"/>
      <c r="H206" s="105"/>
      <c r="I206" s="105"/>
      <c r="J206" s="105"/>
      <c r="K206" s="105"/>
      <c r="L206" s="105"/>
      <c r="M206" s="105"/>
    </row>
    <row r="207" spans="1:13">
      <c r="A207" s="111"/>
      <c r="B207" s="105"/>
      <c r="C207" s="105"/>
      <c r="D207" s="105"/>
      <c r="E207" s="105"/>
      <c r="F207" s="105"/>
      <c r="G207" s="105"/>
      <c r="H207" s="105"/>
      <c r="I207" s="105"/>
      <c r="J207" s="105"/>
      <c r="K207" s="105"/>
      <c r="L207" s="105"/>
      <c r="M207" s="105"/>
    </row>
    <row r="208" spans="1:13">
      <c r="A208" s="111"/>
      <c r="B208" s="105"/>
      <c r="C208" s="105"/>
      <c r="D208" s="105"/>
      <c r="E208" s="105"/>
      <c r="F208" s="105"/>
      <c r="G208" s="105"/>
      <c r="H208" s="105"/>
      <c r="I208" s="105"/>
      <c r="J208" s="105"/>
      <c r="K208" s="105"/>
      <c r="L208" s="105"/>
      <c r="M208" s="105"/>
    </row>
    <row r="209" spans="1:13">
      <c r="A209" s="111"/>
      <c r="B209" s="105"/>
      <c r="C209" s="105"/>
      <c r="D209" s="105"/>
      <c r="E209" s="105"/>
      <c r="F209" s="105"/>
      <c r="G209" s="105"/>
      <c r="H209" s="105"/>
      <c r="I209" s="105"/>
      <c r="J209" s="105"/>
      <c r="K209" s="105"/>
      <c r="L209" s="105"/>
      <c r="M209" s="105"/>
    </row>
    <row r="210" spans="1:13">
      <c r="A210" s="111"/>
      <c r="B210" s="105"/>
      <c r="C210" s="105"/>
      <c r="D210" s="105"/>
      <c r="E210" s="105"/>
      <c r="F210" s="105"/>
      <c r="G210" s="105"/>
      <c r="H210" s="105"/>
      <c r="I210" s="105"/>
      <c r="J210" s="105"/>
      <c r="K210" s="105"/>
      <c r="L210" s="105"/>
      <c r="M210" s="105"/>
    </row>
    <row r="211" spans="1:13">
      <c r="A211" s="111"/>
      <c r="B211" s="105"/>
      <c r="C211" s="105"/>
      <c r="D211" s="105"/>
      <c r="E211" s="105"/>
      <c r="F211" s="105"/>
      <c r="G211" s="105"/>
      <c r="H211" s="105"/>
      <c r="I211" s="105"/>
      <c r="J211" s="105"/>
      <c r="K211" s="105"/>
      <c r="L211" s="105"/>
      <c r="M211" s="105"/>
    </row>
    <row r="212" spans="1:13">
      <c r="A212" s="111"/>
      <c r="B212" s="105"/>
      <c r="C212" s="105"/>
      <c r="D212" s="105"/>
      <c r="E212" s="105"/>
      <c r="F212" s="105"/>
      <c r="G212" s="105"/>
      <c r="H212" s="105"/>
      <c r="I212" s="105"/>
      <c r="J212" s="105"/>
      <c r="K212" s="105"/>
      <c r="L212" s="105"/>
      <c r="M212" s="105"/>
    </row>
    <row r="213" spans="1:13">
      <c r="A213" s="111"/>
      <c r="B213" s="105"/>
      <c r="C213" s="105"/>
      <c r="D213" s="105"/>
      <c r="E213" s="105"/>
      <c r="F213" s="105"/>
      <c r="G213" s="105"/>
      <c r="H213" s="105"/>
      <c r="I213" s="105"/>
      <c r="J213" s="105"/>
      <c r="K213" s="105"/>
      <c r="L213" s="105"/>
      <c r="M213" s="105"/>
    </row>
    <row r="214" spans="1:13">
      <c r="A214" s="111"/>
      <c r="B214" s="105"/>
      <c r="C214" s="105"/>
      <c r="D214" s="105"/>
      <c r="E214" s="105"/>
      <c r="F214" s="105"/>
      <c r="G214" s="105"/>
      <c r="H214" s="105"/>
      <c r="I214" s="105"/>
      <c r="J214" s="105"/>
      <c r="K214" s="105"/>
      <c r="L214" s="105"/>
      <c r="M214" s="105"/>
    </row>
    <row r="215" spans="1:13">
      <c r="A215" s="111"/>
      <c r="B215" s="105"/>
      <c r="C215" s="105"/>
      <c r="D215" s="105"/>
      <c r="E215" s="105"/>
      <c r="F215" s="105"/>
      <c r="G215" s="105"/>
      <c r="H215" s="105"/>
      <c r="I215" s="105"/>
      <c r="J215" s="105"/>
      <c r="K215" s="105"/>
      <c r="L215" s="105"/>
      <c r="M215" s="105"/>
    </row>
    <row r="216" spans="1:13">
      <c r="A216" s="111"/>
      <c r="B216" s="105"/>
      <c r="C216" s="105"/>
      <c r="D216" s="105"/>
      <c r="E216" s="105"/>
      <c r="F216" s="105"/>
      <c r="G216" s="105"/>
      <c r="H216" s="105"/>
      <c r="I216" s="105"/>
      <c r="J216" s="105"/>
      <c r="K216" s="105"/>
      <c r="L216" s="105"/>
      <c r="M216" s="105"/>
    </row>
    <row r="217" spans="1:13">
      <c r="A217" s="111"/>
      <c r="B217" s="105"/>
      <c r="C217" s="105"/>
      <c r="D217" s="105"/>
      <c r="E217" s="105"/>
      <c r="F217" s="105"/>
      <c r="G217" s="105"/>
      <c r="H217" s="105"/>
      <c r="I217" s="105"/>
      <c r="J217" s="105"/>
      <c r="K217" s="105"/>
      <c r="L217" s="105"/>
      <c r="M217" s="105"/>
    </row>
    <row r="218" spans="1:13">
      <c r="A218" s="111"/>
      <c r="B218" s="105"/>
      <c r="C218" s="105"/>
      <c r="D218" s="105"/>
      <c r="E218" s="105"/>
      <c r="F218" s="105"/>
      <c r="G218" s="105"/>
      <c r="H218" s="105"/>
      <c r="I218" s="105"/>
      <c r="J218" s="105"/>
      <c r="K218" s="105"/>
      <c r="L218" s="105"/>
      <c r="M218" s="105"/>
    </row>
    <row r="219" spans="1:13">
      <c r="A219" s="111"/>
      <c r="B219" s="105"/>
      <c r="C219" s="105"/>
      <c r="D219" s="105"/>
      <c r="E219" s="105"/>
      <c r="F219" s="105"/>
      <c r="G219" s="105"/>
      <c r="H219" s="105"/>
      <c r="I219" s="105"/>
      <c r="J219" s="105"/>
      <c r="K219" s="105"/>
      <c r="L219" s="105"/>
      <c r="M219" s="105"/>
    </row>
    <row r="220" spans="1:13">
      <c r="A220" s="111"/>
      <c r="B220" s="105"/>
      <c r="C220" s="105"/>
      <c r="D220" s="105"/>
      <c r="E220" s="105"/>
      <c r="F220" s="105"/>
      <c r="G220" s="105"/>
      <c r="H220" s="105"/>
      <c r="I220" s="105"/>
      <c r="J220" s="105"/>
      <c r="K220" s="105"/>
      <c r="L220" s="105"/>
      <c r="M220" s="105"/>
    </row>
    <row r="221" spans="1:13">
      <c r="A221" s="111"/>
      <c r="B221" s="105"/>
      <c r="C221" s="105"/>
      <c r="D221" s="105"/>
      <c r="E221" s="105"/>
      <c r="F221" s="105"/>
      <c r="G221" s="105"/>
      <c r="H221" s="105"/>
      <c r="I221" s="105"/>
      <c r="J221" s="105"/>
      <c r="K221" s="105"/>
      <c r="L221" s="105"/>
      <c r="M221" s="105"/>
    </row>
    <row r="222" spans="1:13">
      <c r="A222" s="111"/>
      <c r="B222" s="105"/>
      <c r="C222" s="105"/>
      <c r="D222" s="105"/>
      <c r="E222" s="105"/>
      <c r="F222" s="105"/>
      <c r="G222" s="105"/>
      <c r="H222" s="105"/>
      <c r="I222" s="105"/>
      <c r="J222" s="105"/>
      <c r="K222" s="105"/>
      <c r="L222" s="105"/>
      <c r="M222" s="105"/>
    </row>
    <row r="223" spans="1:13">
      <c r="A223" s="111"/>
      <c r="B223" s="105"/>
      <c r="C223" s="105"/>
      <c r="D223" s="105"/>
      <c r="E223" s="105"/>
      <c r="F223" s="105"/>
      <c r="G223" s="105"/>
      <c r="H223" s="105"/>
      <c r="I223" s="105"/>
      <c r="J223" s="105"/>
      <c r="K223" s="105"/>
      <c r="L223" s="105"/>
      <c r="M223" s="105"/>
    </row>
    <row r="224" spans="1:13">
      <c r="A224" s="111"/>
      <c r="B224" s="105"/>
      <c r="C224" s="105"/>
      <c r="D224" s="105"/>
      <c r="E224" s="105"/>
      <c r="F224" s="105"/>
      <c r="G224" s="105"/>
      <c r="H224" s="105"/>
      <c r="I224" s="105"/>
      <c r="J224" s="105"/>
      <c r="K224" s="105"/>
      <c r="L224" s="105"/>
      <c r="M224" s="105"/>
    </row>
    <row r="225" spans="1:13">
      <c r="A225" s="111"/>
      <c r="B225" s="105"/>
      <c r="C225" s="105"/>
      <c r="D225" s="105"/>
      <c r="E225" s="105"/>
      <c r="F225" s="105"/>
      <c r="G225" s="105"/>
      <c r="H225" s="105"/>
      <c r="I225" s="105"/>
      <c r="J225" s="105"/>
      <c r="K225" s="105"/>
      <c r="L225" s="105"/>
      <c r="M225" s="105"/>
    </row>
    <row r="226" spans="1:13">
      <c r="A226" s="111"/>
      <c r="B226" s="105"/>
      <c r="C226" s="105"/>
      <c r="D226" s="105"/>
      <c r="E226" s="105"/>
      <c r="F226" s="105"/>
      <c r="G226" s="105"/>
      <c r="H226" s="105"/>
      <c r="I226" s="105"/>
      <c r="J226" s="105"/>
      <c r="K226" s="105"/>
      <c r="L226" s="105"/>
      <c r="M226" s="105"/>
    </row>
    <row r="227" spans="1:13">
      <c r="A227" s="111"/>
      <c r="B227" s="105"/>
      <c r="C227" s="105"/>
      <c r="D227" s="105"/>
      <c r="E227" s="105"/>
      <c r="F227" s="105"/>
      <c r="G227" s="105"/>
      <c r="H227" s="105"/>
      <c r="I227" s="105"/>
      <c r="J227" s="105"/>
      <c r="K227" s="105"/>
      <c r="L227" s="105"/>
      <c r="M227" s="105"/>
    </row>
    <row r="228" spans="1:13">
      <c r="A228" s="111"/>
      <c r="B228" s="105"/>
      <c r="C228" s="105"/>
      <c r="D228" s="105"/>
      <c r="E228" s="105"/>
      <c r="F228" s="105"/>
      <c r="G228" s="105"/>
      <c r="H228" s="105"/>
      <c r="I228" s="105"/>
      <c r="J228" s="105"/>
      <c r="K228" s="105"/>
      <c r="L228" s="105"/>
      <c r="M228" s="105"/>
    </row>
    <row r="229" spans="1:13">
      <c r="A229" s="111"/>
      <c r="B229" s="105"/>
      <c r="C229" s="105"/>
      <c r="D229" s="105"/>
      <c r="E229" s="105"/>
      <c r="F229" s="105"/>
      <c r="G229" s="105"/>
      <c r="H229" s="105"/>
      <c r="I229" s="105"/>
      <c r="J229" s="105"/>
      <c r="K229" s="105"/>
      <c r="L229" s="105"/>
      <c r="M229" s="105"/>
    </row>
    <row r="230" spans="1:13">
      <c r="A230" s="111"/>
      <c r="B230" s="105"/>
      <c r="C230" s="105"/>
      <c r="D230" s="105"/>
      <c r="E230" s="105"/>
      <c r="F230" s="105"/>
      <c r="G230" s="105"/>
      <c r="H230" s="105"/>
      <c r="I230" s="105"/>
      <c r="J230" s="105"/>
      <c r="K230" s="105"/>
      <c r="L230" s="105"/>
      <c r="M230" s="105"/>
    </row>
    <row r="231" spans="1:13">
      <c r="A231" s="111"/>
      <c r="B231" s="105"/>
      <c r="C231" s="105"/>
      <c r="D231" s="105"/>
      <c r="E231" s="105"/>
      <c r="F231" s="105"/>
      <c r="G231" s="105"/>
      <c r="H231" s="105"/>
      <c r="I231" s="105"/>
      <c r="J231" s="105"/>
      <c r="K231" s="105"/>
      <c r="L231" s="105"/>
      <c r="M231" s="105"/>
    </row>
    <row r="232" spans="1:13">
      <c r="A232" s="111"/>
      <c r="B232" s="105"/>
      <c r="C232" s="105"/>
      <c r="D232" s="105"/>
      <c r="E232" s="105"/>
      <c r="F232" s="105"/>
      <c r="G232" s="105"/>
      <c r="H232" s="105"/>
      <c r="I232" s="105"/>
      <c r="J232" s="105"/>
      <c r="K232" s="105"/>
      <c r="L232" s="105"/>
      <c r="M232" s="105"/>
    </row>
    <row r="233" spans="1:13">
      <c r="A233" s="111"/>
      <c r="B233" s="105"/>
      <c r="C233" s="105"/>
      <c r="D233" s="105"/>
      <c r="E233" s="105"/>
      <c r="F233" s="105"/>
      <c r="G233" s="105"/>
      <c r="H233" s="105"/>
      <c r="I233" s="105"/>
      <c r="J233" s="105"/>
      <c r="K233" s="105"/>
      <c r="L233" s="105"/>
      <c r="M233" s="105"/>
    </row>
    <row r="234" spans="1:13">
      <c r="A234" s="111"/>
      <c r="B234" s="105"/>
      <c r="C234" s="105"/>
      <c r="D234" s="105"/>
      <c r="E234" s="105"/>
      <c r="F234" s="105"/>
      <c r="G234" s="105"/>
      <c r="H234" s="105"/>
      <c r="I234" s="105"/>
      <c r="J234" s="105"/>
      <c r="K234" s="105"/>
      <c r="L234" s="105"/>
      <c r="M234" s="105"/>
    </row>
    <row r="235" spans="1:13">
      <c r="A235" s="111"/>
      <c r="B235" s="105"/>
      <c r="C235" s="105"/>
      <c r="D235" s="105"/>
      <c r="E235" s="105"/>
      <c r="F235" s="105"/>
      <c r="G235" s="105"/>
      <c r="H235" s="105"/>
      <c r="I235" s="105"/>
      <c r="J235" s="105"/>
      <c r="K235" s="105"/>
      <c r="L235" s="105"/>
      <c r="M235" s="105"/>
    </row>
    <row r="236" spans="1:13">
      <c r="A236" s="111"/>
      <c r="B236" s="105"/>
      <c r="C236" s="105"/>
      <c r="D236" s="105"/>
      <c r="E236" s="105"/>
      <c r="F236" s="105"/>
      <c r="G236" s="105"/>
      <c r="H236" s="105"/>
      <c r="I236" s="105"/>
      <c r="J236" s="105"/>
      <c r="K236" s="105"/>
      <c r="L236" s="105"/>
      <c r="M236" s="105"/>
    </row>
    <row r="237" spans="1:13">
      <c r="A237" s="111"/>
      <c r="B237" s="105"/>
      <c r="C237" s="105"/>
      <c r="D237" s="105"/>
      <c r="E237" s="105"/>
      <c r="F237" s="105"/>
      <c r="G237" s="105"/>
      <c r="H237" s="105"/>
      <c r="I237" s="105"/>
      <c r="J237" s="105"/>
      <c r="K237" s="105"/>
      <c r="L237" s="105"/>
      <c r="M237" s="105"/>
    </row>
    <row r="238" spans="1:13">
      <c r="A238" s="111"/>
      <c r="B238" s="105"/>
      <c r="C238" s="105"/>
      <c r="D238" s="105"/>
      <c r="E238" s="105"/>
      <c r="F238" s="105"/>
      <c r="G238" s="105"/>
      <c r="H238" s="105"/>
      <c r="I238" s="105"/>
      <c r="J238" s="105"/>
      <c r="K238" s="105"/>
      <c r="L238" s="105"/>
      <c r="M238" s="105"/>
    </row>
    <row r="239" spans="1:13">
      <c r="A239" s="111"/>
      <c r="B239" s="105"/>
      <c r="C239" s="105"/>
      <c r="D239" s="105"/>
      <c r="E239" s="105"/>
      <c r="F239" s="105"/>
      <c r="G239" s="105"/>
      <c r="H239" s="105"/>
      <c r="I239" s="105"/>
      <c r="J239" s="105"/>
      <c r="K239" s="105"/>
      <c r="L239" s="105"/>
      <c r="M239" s="105"/>
    </row>
    <row r="240" spans="1:13">
      <c r="A240" s="111"/>
      <c r="B240" s="105"/>
      <c r="C240" s="105"/>
      <c r="D240" s="105"/>
      <c r="E240" s="105"/>
      <c r="F240" s="105"/>
      <c r="G240" s="105"/>
      <c r="H240" s="105"/>
      <c r="I240" s="105"/>
      <c r="J240" s="105"/>
      <c r="K240" s="105"/>
      <c r="L240" s="105"/>
      <c r="M240" s="105"/>
    </row>
    <row r="241" spans="1:13">
      <c r="A241" s="111"/>
      <c r="B241" s="105"/>
      <c r="C241" s="105"/>
      <c r="D241" s="105"/>
      <c r="E241" s="105"/>
      <c r="F241" s="105"/>
      <c r="G241" s="105"/>
      <c r="H241" s="105"/>
      <c r="I241" s="105"/>
      <c r="J241" s="105"/>
      <c r="K241" s="105"/>
      <c r="L241" s="105"/>
      <c r="M241" s="105"/>
    </row>
    <row r="242" spans="1:13">
      <c r="A242" s="111"/>
      <c r="B242" s="105"/>
      <c r="C242" s="105"/>
      <c r="D242" s="105"/>
      <c r="E242" s="105"/>
      <c r="F242" s="105"/>
      <c r="G242" s="105"/>
      <c r="H242" s="105"/>
      <c r="I242" s="105"/>
      <c r="J242" s="105"/>
      <c r="K242" s="105"/>
      <c r="L242" s="105"/>
      <c r="M242" s="105"/>
    </row>
    <row r="243" spans="1:13">
      <c r="A243" s="111"/>
      <c r="B243" s="105"/>
      <c r="C243" s="105"/>
      <c r="D243" s="105"/>
      <c r="E243" s="105"/>
      <c r="F243" s="105"/>
      <c r="G243" s="105"/>
      <c r="H243" s="105"/>
      <c r="I243" s="105"/>
      <c r="J243" s="105"/>
      <c r="K243" s="105"/>
      <c r="L243" s="105"/>
      <c r="M243" s="105"/>
    </row>
    <row r="244" spans="1:13">
      <c r="A244" s="111"/>
      <c r="B244" s="105"/>
      <c r="C244" s="105"/>
      <c r="D244" s="105"/>
      <c r="E244" s="105"/>
      <c r="F244" s="105"/>
      <c r="G244" s="105"/>
      <c r="H244" s="105"/>
      <c r="I244" s="105"/>
      <c r="J244" s="105"/>
      <c r="K244" s="105"/>
      <c r="L244" s="105"/>
      <c r="M244" s="105"/>
    </row>
    <row r="245" spans="1:13">
      <c r="A245" s="111"/>
      <c r="B245" s="105"/>
      <c r="C245" s="105"/>
      <c r="D245" s="105"/>
      <c r="E245" s="105"/>
      <c r="F245" s="105"/>
      <c r="G245" s="105"/>
      <c r="H245" s="105"/>
      <c r="I245" s="105"/>
      <c r="J245" s="105"/>
      <c r="K245" s="105"/>
      <c r="L245" s="105"/>
      <c r="M245" s="105"/>
    </row>
    <row r="246" spans="1:13">
      <c r="A246" s="111"/>
      <c r="B246" s="105"/>
      <c r="C246" s="105"/>
      <c r="D246" s="105"/>
      <c r="E246" s="105"/>
      <c r="F246" s="105"/>
      <c r="G246" s="105"/>
      <c r="H246" s="105"/>
      <c r="I246" s="105"/>
      <c r="J246" s="105"/>
      <c r="K246" s="105"/>
      <c r="L246" s="105"/>
      <c r="M246" s="105"/>
    </row>
    <row r="247" spans="1:13">
      <c r="A247" s="111"/>
      <c r="B247" s="105"/>
      <c r="C247" s="105"/>
      <c r="D247" s="105"/>
      <c r="E247" s="105"/>
      <c r="F247" s="105"/>
      <c r="G247" s="105"/>
      <c r="H247" s="105"/>
      <c r="I247" s="105"/>
      <c r="J247" s="105"/>
      <c r="K247" s="105"/>
      <c r="L247" s="105"/>
      <c r="M247" s="105"/>
    </row>
    <row r="248" spans="1:13">
      <c r="A248" s="111"/>
      <c r="B248" s="105"/>
      <c r="C248" s="105"/>
      <c r="D248" s="105"/>
      <c r="E248" s="105"/>
      <c r="F248" s="105"/>
      <c r="G248" s="105"/>
      <c r="H248" s="105"/>
      <c r="I248" s="105"/>
      <c r="J248" s="105"/>
      <c r="K248" s="105"/>
      <c r="L248" s="105"/>
      <c r="M248" s="105"/>
    </row>
    <row r="249" spans="1:13">
      <c r="A249" s="111"/>
      <c r="B249" s="105"/>
      <c r="C249" s="105"/>
      <c r="D249" s="105"/>
      <c r="E249" s="105"/>
      <c r="F249" s="105"/>
      <c r="G249" s="105"/>
      <c r="H249" s="105"/>
      <c r="I249" s="105"/>
      <c r="J249" s="105"/>
      <c r="K249" s="105"/>
      <c r="L249" s="105"/>
      <c r="M249" s="105"/>
    </row>
    <row r="250" spans="1:13">
      <c r="A250" s="111"/>
      <c r="B250" s="105"/>
      <c r="C250" s="105"/>
      <c r="D250" s="105"/>
      <c r="E250" s="105"/>
      <c r="F250" s="105"/>
      <c r="G250" s="105"/>
      <c r="H250" s="105"/>
      <c r="I250" s="105"/>
      <c r="J250" s="105"/>
      <c r="K250" s="105"/>
      <c r="L250" s="105"/>
      <c r="M250" s="105"/>
    </row>
    <row r="251" spans="1:13">
      <c r="A251" s="111"/>
      <c r="B251" s="105"/>
      <c r="C251" s="105"/>
      <c r="D251" s="105"/>
      <c r="E251" s="105"/>
      <c r="F251" s="105"/>
      <c r="G251" s="105"/>
      <c r="H251" s="105"/>
      <c r="I251" s="105"/>
      <c r="J251" s="105"/>
      <c r="K251" s="105"/>
      <c r="L251" s="105"/>
      <c r="M251" s="105"/>
    </row>
  </sheetData>
  <phoneticPr fontId="15" type="noConversion"/>
  <hyperlinks>
    <hyperlink ref="B73" r:id="rId1"/>
  </hyperlinks>
  <pageMargins left="1.0629921259842521" right="0.74803149606299213" top="0.43307086614173229" bottom="0.39370078740157483" header="0" footer="0"/>
  <pageSetup paperSize="9" scale="63" fitToWidth="2" fitToHeight="8" orientation="landscape" r:id="rId2"/>
  <headerFooter alignWithMargins="0"/>
  <rowBreaks count="3" manualBreakCount="3">
    <brk id="60" max="16383" man="1"/>
    <brk id="116" max="16383" man="1"/>
    <brk id="172" max="16383" man="1"/>
  </rowBreaks>
  <drawing r:id="rId3"/>
  <legacy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F18" sqref="F18"/>
    </sheetView>
  </sheetViews>
  <sheetFormatPr baseColWidth="10" defaultRowHeight="15"/>
  <sheetData>
    <row r="1" spans="1:11">
      <c r="A1" s="1"/>
      <c r="B1" s="1"/>
      <c r="C1" s="1"/>
      <c r="D1" s="1"/>
      <c r="E1" s="1"/>
      <c r="F1" s="1"/>
      <c r="G1" s="1"/>
      <c r="H1" s="1"/>
      <c r="I1" s="1"/>
      <c r="J1" s="1"/>
      <c r="K1" s="7"/>
    </row>
    <row r="2" spans="1:11">
      <c r="A2" s="1"/>
      <c r="B2" s="1"/>
      <c r="C2" s="1"/>
      <c r="D2" s="1"/>
      <c r="E2" s="1"/>
      <c r="F2" s="1"/>
      <c r="G2" s="1" t="s">
        <v>497</v>
      </c>
      <c r="H2" s="1" t="s">
        <v>496</v>
      </c>
      <c r="I2" s="16" t="s">
        <v>499</v>
      </c>
      <c r="J2" s="1"/>
      <c r="K2" s="56"/>
    </row>
    <row r="3" spans="1:11" ht="18.75">
      <c r="A3" s="50"/>
      <c r="B3" s="50"/>
      <c r="C3" s="1" t="s">
        <v>493</v>
      </c>
      <c r="D3" s="1" t="s">
        <v>494</v>
      </c>
      <c r="E3" s="1" t="s">
        <v>495</v>
      </c>
      <c r="F3" s="16" t="s">
        <v>492</v>
      </c>
      <c r="G3" s="16" t="s">
        <v>87</v>
      </c>
      <c r="H3" s="595" t="s">
        <v>88</v>
      </c>
      <c r="I3" s="595" t="s">
        <v>498</v>
      </c>
      <c r="J3" s="1"/>
      <c r="K3" s="56"/>
    </row>
    <row r="4" spans="1:11">
      <c r="A4" s="594" t="s">
        <v>84</v>
      </c>
      <c r="B4" s="1" t="s">
        <v>36</v>
      </c>
      <c r="C4" s="16">
        <v>1.05</v>
      </c>
      <c r="D4" s="16">
        <f>Factores!V11*FTCg</f>
        <v>8.8336956521739132E-2</v>
      </c>
      <c r="E4" s="16">
        <f>+Factores!Z11*FPMg</f>
        <v>7.2947439281261461E-2</v>
      </c>
      <c r="F4" s="16">
        <f>+C4-D4-E4</f>
        <v>0.88871560419699946</v>
      </c>
      <c r="G4" s="16">
        <f>+Factores!W11</f>
        <v>5.2999999999999999E-2</v>
      </c>
      <c r="H4" s="16">
        <f>+Factores!X11</f>
        <v>0.78310000000000002</v>
      </c>
      <c r="I4" s="16">
        <f>+F4/(G4+H4)</f>
        <v>1.062929798106685</v>
      </c>
      <c r="J4" s="1"/>
      <c r="K4" s="56"/>
    </row>
    <row r="5" spans="1:11">
      <c r="A5" s="594" t="s">
        <v>85</v>
      </c>
      <c r="B5" s="1" t="s">
        <v>37</v>
      </c>
      <c r="C5" s="16">
        <v>1.05</v>
      </c>
      <c r="D5" s="16">
        <f>Factores!V12*FTCg</f>
        <v>1.1543478260869563E-2</v>
      </c>
      <c r="E5" s="16">
        <f>+Factores!Z12*FPMg</f>
        <v>5.8476887467315566E-2</v>
      </c>
      <c r="F5" s="16">
        <f>+C5-D5-E5</f>
        <v>0.97997963427181478</v>
      </c>
      <c r="G5" s="16">
        <f>+Factores!W12</f>
        <v>0.92920000000000003</v>
      </c>
      <c r="H5" s="16"/>
      <c r="I5" s="22">
        <f>+F5/G5</f>
        <v>1.0546487669735416</v>
      </c>
      <c r="J5" s="1"/>
      <c r="K5" s="56">
        <v>1</v>
      </c>
    </row>
    <row r="6" spans="1:11">
      <c r="A6" s="45" t="s">
        <v>83</v>
      </c>
      <c r="B6" s="7" t="s">
        <v>39</v>
      </c>
      <c r="C6" s="16">
        <v>1.05</v>
      </c>
      <c r="D6" s="16">
        <f>Factores!V15*FTCg</f>
        <v>0.14693478260869564</v>
      </c>
      <c r="E6" s="16">
        <f>+Factores!Z15*FPMg</f>
        <v>0.77387718194033894</v>
      </c>
      <c r="F6" s="596">
        <f>+C6-D6-E6</f>
        <v>0.12918803545096547</v>
      </c>
      <c r="G6" s="16">
        <f>+Factores!W15</f>
        <v>6.9000000000000006E-2</v>
      </c>
      <c r="H6" s="16"/>
      <c r="I6" s="22">
        <f>+F6/G6</f>
        <v>1.8722903688545718</v>
      </c>
      <c r="J6" s="1"/>
      <c r="K6" s="56">
        <v>1.05</v>
      </c>
    </row>
    <row r="7" spans="1:11">
      <c r="A7" s="594" t="s">
        <v>211</v>
      </c>
      <c r="B7" s="1" t="s">
        <v>40</v>
      </c>
      <c r="C7" s="16">
        <v>1.05</v>
      </c>
      <c r="D7" s="16">
        <f>Factores!V16*FTCg</f>
        <v>0.1489891304347826</v>
      </c>
      <c r="E7" s="16">
        <f>+Factores!Z16*FPMg</f>
        <v>0.7856716728023907</v>
      </c>
      <c r="F7" s="597">
        <f>+C7-D7-E7</f>
        <v>0.11533919676282678</v>
      </c>
      <c r="G7" s="16">
        <f>+Factores!W16</f>
        <v>5.5E-2</v>
      </c>
      <c r="H7" s="16"/>
      <c r="I7" s="22">
        <f>+F7/G7</f>
        <v>2.0970763047786689</v>
      </c>
      <c r="J7" s="1"/>
      <c r="K7" s="56">
        <f>+K6/K5-1</f>
        <v>5.0000000000000044E-2</v>
      </c>
    </row>
    <row r="8" spans="1:11">
      <c r="A8" s="594" t="s">
        <v>211</v>
      </c>
      <c r="B8" s="1" t="s">
        <v>13</v>
      </c>
      <c r="C8" s="16">
        <v>1.05</v>
      </c>
      <c r="D8" s="16">
        <f>Factores!V17*FTCg</f>
        <v>7.777173913043478E-2</v>
      </c>
      <c r="E8" s="16">
        <f>+Factores!Z17*FPMg</f>
        <v>0.37752282095424577</v>
      </c>
      <c r="F8" s="16">
        <f>+C8-D8-E8</f>
        <v>0.59470543991531954</v>
      </c>
      <c r="G8" s="16">
        <f>+Factores!W17</f>
        <v>0.53959999999999997</v>
      </c>
      <c r="H8" s="16"/>
      <c r="I8" s="22">
        <f>+F8/G8</f>
        <v>1.1021227574412891</v>
      </c>
      <c r="J8" s="1"/>
      <c r="K8" s="56"/>
    </row>
    <row r="11" spans="1:11" ht="19.5">
      <c r="A11" s="50"/>
      <c r="B11" s="50"/>
      <c r="C11" s="598" t="s">
        <v>500</v>
      </c>
      <c r="D11" s="598" t="s">
        <v>501</v>
      </c>
      <c r="E11" s="7" t="s">
        <v>503</v>
      </c>
      <c r="F11" s="7" t="s">
        <v>502</v>
      </c>
      <c r="G11" s="7" t="s">
        <v>504</v>
      </c>
      <c r="H11" s="7" t="s">
        <v>505</v>
      </c>
      <c r="I11" t="s">
        <v>223</v>
      </c>
    </row>
    <row r="12" spans="1:11">
      <c r="A12" s="1" t="s">
        <v>36</v>
      </c>
      <c r="B12" s="1"/>
      <c r="C12" s="7">
        <f>+(Factores!J10+Factores!M10)*mfb!I4</f>
        <v>10.129720975956706</v>
      </c>
      <c r="D12" s="7">
        <f>+(Factores!K10+Factores!N10)*mfb!I4</f>
        <v>8.2908524252321421</v>
      </c>
      <c r="E12" s="514">
        <f>+C12-Factores!P20</f>
        <v>10.129720975956706</v>
      </c>
      <c r="F12" s="514">
        <f>+D12-Factores!Q20</f>
        <v>8.2908524252321421</v>
      </c>
      <c r="G12" s="601">
        <f>+E12/Factores!J10-1</f>
        <v>6.2929798106684975E-2</v>
      </c>
      <c r="H12" s="601">
        <f>+F12/Factores!K10-1</f>
        <v>6.2929798106684975E-2</v>
      </c>
      <c r="I12" s="594"/>
    </row>
    <row r="13" spans="1:11">
      <c r="A13" s="1" t="s">
        <v>37</v>
      </c>
      <c r="B13" s="1"/>
      <c r="C13" s="7">
        <f>+(Factores!J12+Factores!M12)*mfb!I5</f>
        <v>11.253102343607688</v>
      </c>
      <c r="D13" s="7"/>
      <c r="E13" s="514">
        <f>+C13-Factores!P22</f>
        <v>10.243102343607688</v>
      </c>
      <c r="F13" s="514"/>
      <c r="G13" s="601">
        <f>+E13/Factores!J12-1</f>
        <v>8.1636995101128651E-2</v>
      </c>
      <c r="H13" s="601"/>
      <c r="I13" s="594"/>
    </row>
    <row r="14" spans="1:11">
      <c r="A14" s="7" t="s">
        <v>39</v>
      </c>
      <c r="B14" s="1"/>
      <c r="C14" s="7">
        <f>+(Factores!J9+Factores!M9)*mfb!I6</f>
        <v>19.153530473382268</v>
      </c>
      <c r="D14" s="7"/>
      <c r="E14" s="514">
        <f>+C14-Factores!P19</f>
        <v>17.953530473382269</v>
      </c>
      <c r="F14" s="514"/>
      <c r="G14" s="601">
        <f>+E14/Factores!J9-1</f>
        <v>0.98820935474886706</v>
      </c>
      <c r="H14" s="601"/>
      <c r="I14" s="45"/>
    </row>
    <row r="15" spans="1:11">
      <c r="A15" s="1" t="s">
        <v>40</v>
      </c>
      <c r="B15" s="1"/>
      <c r="C15" s="7">
        <f>+(Factores!J11+Factores!M11)*mfb!I7</f>
        <v>21.45309059788578</v>
      </c>
      <c r="D15" s="7"/>
      <c r="E15" s="514">
        <f>+C15-Factores!P21</f>
        <v>20.25309059788578</v>
      </c>
      <c r="F15" s="514"/>
      <c r="G15" s="601">
        <f>+E15/Factores!J11-1</f>
        <v>1.2428671758456016</v>
      </c>
      <c r="H15" s="601"/>
      <c r="I15" s="594"/>
    </row>
    <row r="16" spans="1:11">
      <c r="A16" s="1" t="s">
        <v>13</v>
      </c>
      <c r="B16" s="1"/>
      <c r="C16" s="599">
        <f>+(Factores!J11+Factores!M11)*mfb!I8</f>
        <v>11.274715808624386</v>
      </c>
      <c r="D16" s="7"/>
      <c r="E16" s="514">
        <f>+C16-Factores!P21</f>
        <v>10.074715808624386</v>
      </c>
      <c r="F16" s="514"/>
      <c r="G16" s="601">
        <f>+E16/Factores!J11-1</f>
        <v>0.11569388799827096</v>
      </c>
      <c r="H16" s="601"/>
      <c r="I16" s="594"/>
    </row>
    <row r="17" spans="1:9">
      <c r="A17" s="1"/>
      <c r="B17" s="7"/>
      <c r="C17" s="7"/>
      <c r="D17" s="7"/>
      <c r="E17" s="7"/>
      <c r="F17" s="7"/>
      <c r="G17" s="7"/>
      <c r="H17" s="7"/>
      <c r="I17" s="1"/>
    </row>
    <row r="18" spans="1:9">
      <c r="A18" s="1"/>
      <c r="B18" s="7" t="s">
        <v>506</v>
      </c>
      <c r="C18" s="7" t="s">
        <v>507</v>
      </c>
      <c r="D18" s="7"/>
      <c r="E18" s="7" t="s">
        <v>512</v>
      </c>
      <c r="F18" s="7" t="s">
        <v>511</v>
      </c>
      <c r="G18" s="7"/>
      <c r="H18" s="7"/>
      <c r="I18" s="1"/>
    </row>
    <row r="19" spans="1:9">
      <c r="A19" s="1" t="s">
        <v>263</v>
      </c>
      <c r="B19" s="1">
        <v>9.32</v>
      </c>
      <c r="C19" s="1">
        <v>9.5299999999999994</v>
      </c>
      <c r="D19" s="600">
        <f>+C19/B19-1</f>
        <v>2.2532188841201561E-2</v>
      </c>
      <c r="E19" s="1">
        <v>7.8</v>
      </c>
      <c r="F19" s="1">
        <v>7.97</v>
      </c>
      <c r="G19" s="600">
        <f>+F19/E19-1</f>
        <v>2.1794871794871717E-2</v>
      </c>
      <c r="H19" s="1"/>
      <c r="I19" s="1"/>
    </row>
    <row r="20" spans="1:9">
      <c r="A20" s="1" t="s">
        <v>275</v>
      </c>
      <c r="B20" s="1">
        <v>9.26</v>
      </c>
      <c r="C20" s="1">
        <v>9.64</v>
      </c>
      <c r="D20" s="600">
        <f>+C20/B20-1</f>
        <v>4.103671706263512E-2</v>
      </c>
      <c r="E20" s="1"/>
      <c r="F20" s="1"/>
      <c r="G20" s="1"/>
      <c r="H20" s="1"/>
      <c r="I20" s="1"/>
    </row>
    <row r="21" spans="1:9">
      <c r="A21" s="1"/>
      <c r="B21" s="1" t="s">
        <v>506</v>
      </c>
      <c r="C21" s="26" t="s">
        <v>507</v>
      </c>
      <c r="D21" s="1" t="s">
        <v>509</v>
      </c>
      <c r="E21" s="7" t="s">
        <v>508</v>
      </c>
      <c r="F21" s="7" t="s">
        <v>511</v>
      </c>
      <c r="G21" s="1" t="s">
        <v>510</v>
      </c>
      <c r="H21" s="1"/>
      <c r="I21" s="1"/>
    </row>
    <row r="22" spans="1:9">
      <c r="A22" s="1" t="s">
        <v>263</v>
      </c>
      <c r="B22" s="1">
        <f>+Factores!J10</f>
        <v>9.5299999999999994</v>
      </c>
      <c r="C22" s="602">
        <f>ROUND(B22*(1+MIN($G$12:$H$16)),2)</f>
        <v>10.130000000000001</v>
      </c>
      <c r="D22" s="1">
        <f>ROUND(+B22*(1.05),2)</f>
        <v>10.01</v>
      </c>
      <c r="E22" s="1">
        <f>+Factores!K10</f>
        <v>7.8</v>
      </c>
      <c r="F22" s="1">
        <f>ROUND(+E22*(1+MIN($G$12:$H$16)),2)</f>
        <v>8.2899999999999991</v>
      </c>
      <c r="G22" s="1">
        <f>ROUND(+E22*(1.05),2)</f>
        <v>8.19</v>
      </c>
      <c r="H22" s="1"/>
      <c r="I22" s="1"/>
    </row>
    <row r="23" spans="1:9">
      <c r="A23" s="1" t="s">
        <v>275</v>
      </c>
      <c r="B23" s="1">
        <f>+Factores!J12</f>
        <v>9.4700000000000006</v>
      </c>
      <c r="C23" s="602">
        <f>ROUND(B23*(1+MIN($G$12:$H$16)),2)</f>
        <v>10.07</v>
      </c>
      <c r="D23" s="1">
        <f>ROUND(+B23*(1.05),2)</f>
        <v>9.94</v>
      </c>
      <c r="E23" s="1"/>
      <c r="F23" s="1"/>
      <c r="G23" s="1"/>
      <c r="H23" s="1"/>
      <c r="I23"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FAF54A0A63D6842840600891AFE3E5B" ma:contentTypeVersion="9" ma:contentTypeDescription="Crear nuevo documento." ma:contentTypeScope="" ma:versionID="ed7a7d99e12cb676d8693eeb784e4e0a">
  <xsd:schema xmlns:xsd="http://www.w3.org/2001/XMLSchema" xmlns:xs="http://www.w3.org/2001/XMLSchema" xmlns:p="http://schemas.microsoft.com/office/2006/metadata/properties" xmlns:ns2="c9af1732-5c4a-47a8-8a40-65a3d58cbfeb" xmlns:ns3="2c528ab9-7095-49d0-a7ff-82fe0cd557ed" targetNamespace="http://schemas.microsoft.com/office/2006/metadata/properties" ma:root="true" ma:fieldsID="cb9ef61cab5c4a86d7a7b36c6af63c4c" ns2:_="" ns3:_="">
    <xsd:import namespace="c9af1732-5c4a-47a8-8a40-65a3d58cbfeb"/>
    <xsd:import namespace="2c528ab9-7095-49d0-a7ff-82fe0cd557ed"/>
    <xsd:element name="properties">
      <xsd:complexType>
        <xsd:sequence>
          <xsd:element name="documentManagement">
            <xsd:complexType>
              <xsd:all>
                <xsd:element ref="ns2:_dlc_DocId" minOccurs="0"/>
                <xsd:element ref="ns2:_dlc_DocIdUrl" minOccurs="0"/>
                <xsd:element ref="ns2:_dlc_DocIdPersistId" minOccurs="0"/>
                <xsd:element ref="ns3:FechaVigencia" minOccurs="0"/>
                <xsd:element ref="ns3:Categori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af1732-5c4a-47a8-8a40-65a3d58cbfeb"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c528ab9-7095-49d0-a7ff-82fe0cd557ed" elementFormDefault="qualified">
    <xsd:import namespace="http://schemas.microsoft.com/office/2006/documentManagement/types"/>
    <xsd:import namespace="http://schemas.microsoft.com/office/infopath/2007/PartnerControls"/>
    <xsd:element name="FechaVigencia" ma:index="11" nillable="true" ma:displayName="Fecha de Vigencia" ma:default="[today]" ma:format="DateOnly" ma:internalName="FechaVigencia">
      <xsd:simpleType>
        <xsd:restriction base="dms:DateTime"/>
      </xsd:simpleType>
    </xsd:element>
    <xsd:element name="Categoria" ma:index="12" nillable="true" ma:displayName="Categoria" ma:list="{e20db2da-d58f-4f43-afe1-65ddc9263927}" ma:internalName="Categoria" ma:readOnly="false" ma:showField="Title">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Categoria xmlns="2c528ab9-7095-49d0-a7ff-82fe0cd557ed">9</Categoria>
    <FechaVigencia xmlns="2c528ab9-7095-49d0-a7ff-82fe0cd557ed">2012-09-04T05:00:00+00:00</FechaVigencia>
    <_dlc_DocId xmlns="c9af1732-5c4a-47a8-8a40-65a3d58cbfeb">H4ZUARPRAJFR-91-2493</_dlc_DocId>
    <_dlc_DocIdUrl xmlns="c9af1732-5c4a-47a8-8a40-65a3d58cbfeb">
      <Url>http://portal/seccion/centro_documental/gart/_layouts/15/DocIdRedir.aspx?ID=H4ZUARPRAJFR-91-2493</Url>
      <Description>H4ZUARPRAJFR-91-2493</Description>
    </_dlc_DocIdUrl>
  </documentManagement>
</p:properties>
</file>

<file path=customXml/itemProps1.xml><?xml version="1.0" encoding="utf-8"?>
<ds:datastoreItem xmlns:ds="http://schemas.openxmlformats.org/officeDocument/2006/customXml" ds:itemID="{7458B4E1-7DC5-4440-83CD-7A0103562A0E}"/>
</file>

<file path=customXml/itemProps2.xml><?xml version="1.0" encoding="utf-8"?>
<ds:datastoreItem xmlns:ds="http://schemas.openxmlformats.org/officeDocument/2006/customXml" ds:itemID="{1A1298D0-6AD8-4823-87FC-77517710D91D}"/>
</file>

<file path=customXml/itemProps3.xml><?xml version="1.0" encoding="utf-8"?>
<ds:datastoreItem xmlns:ds="http://schemas.openxmlformats.org/officeDocument/2006/customXml" ds:itemID="{A2FEADBF-DE95-4F20-8A31-5BDC4A7F28A0}"/>
</file>

<file path=customXml/itemProps4.xml><?xml version="1.0" encoding="utf-8"?>
<ds:datastoreItem xmlns:ds="http://schemas.openxmlformats.org/officeDocument/2006/customXml" ds:itemID="{4F113C94-6D08-4628-9A4D-415519556DC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53</vt:i4>
      </vt:variant>
    </vt:vector>
  </HeadingPairs>
  <TitlesOfParts>
    <vt:vector size="61" baseType="lpstr">
      <vt:lpstr>ResumenIndicadores</vt:lpstr>
      <vt:lpstr>Factores</vt:lpstr>
      <vt:lpstr>PCSPT</vt:lpstr>
      <vt:lpstr>Historico</vt:lpstr>
      <vt:lpstr>IPM-TC-COBRE-ALUMINIO</vt:lpstr>
      <vt:lpstr>COMBUSTIBLES</vt:lpstr>
      <vt:lpstr>TA_VAD</vt:lpstr>
      <vt:lpstr>mfb</vt:lpstr>
      <vt:lpstr>COMBUSTIBLES!Área_de_impresión</vt:lpstr>
      <vt:lpstr>Factores!Área_de_impresión</vt:lpstr>
      <vt:lpstr>'IPM-TC-COBRE-ALUMINIO'!Área_de_impresión</vt:lpstr>
      <vt:lpstr>PCSPT!Área_de_impresión</vt:lpstr>
      <vt:lpstr>Cuadro_4y5</vt:lpstr>
      <vt:lpstr>DALd</vt:lpstr>
      <vt:lpstr>DCUd</vt:lpstr>
      <vt:lpstr>FCB</vt:lpstr>
      <vt:lpstr>FD2G1</vt:lpstr>
      <vt:lpstr>FD2G2</vt:lpstr>
      <vt:lpstr>FD2G3</vt:lpstr>
      <vt:lpstr>FD2G4</vt:lpstr>
      <vt:lpstr>FD2SEIN</vt:lpstr>
      <vt:lpstr>FPALtp</vt:lpstr>
      <vt:lpstr>FPALts</vt:lpstr>
      <vt:lpstr>FPCUtp</vt:lpstr>
      <vt:lpstr>FPCUts</vt:lpstr>
      <vt:lpstr>FPGN</vt:lpstr>
      <vt:lpstr>FPMconexion</vt:lpstr>
      <vt:lpstr>FPMd</vt:lpstr>
      <vt:lpstr>FPMg</vt:lpstr>
      <vt:lpstr>FPMprepagod</vt:lpstr>
      <vt:lpstr>FPMtp</vt:lpstr>
      <vt:lpstr>FPMts</vt:lpstr>
      <vt:lpstr>FR6G1</vt:lpstr>
      <vt:lpstr>FR6G2</vt:lpstr>
      <vt:lpstr>FR6G3</vt:lpstr>
      <vt:lpstr>FR6G4</vt:lpstr>
      <vt:lpstr>FR6SEIN</vt:lpstr>
      <vt:lpstr>FTCd</vt:lpstr>
      <vt:lpstr>FTCg</vt:lpstr>
      <vt:lpstr>FTCtp</vt:lpstr>
      <vt:lpstr>FTCts</vt:lpstr>
      <vt:lpstr>IPALd</vt:lpstr>
      <vt:lpstr>IPCUd</vt:lpstr>
      <vt:lpstr>ITAc</vt:lpstr>
      <vt:lpstr>ITAPC1</vt:lpstr>
      <vt:lpstr>ITAPC11</vt:lpstr>
      <vt:lpstr>ITAPC12</vt:lpstr>
      <vt:lpstr>ITAPC2</vt:lpstr>
      <vt:lpstr>ITAPC3</vt:lpstr>
      <vt:lpstr>ITAPC4</vt:lpstr>
      <vt:lpstr>ITAPC5</vt:lpstr>
      <vt:lpstr>ITAPC6</vt:lpstr>
      <vt:lpstr>ITAPC7</vt:lpstr>
      <vt:lpstr>ITAPC8</vt:lpstr>
      <vt:lpstr>ITAPC9</vt:lpstr>
      <vt:lpstr>TablaA</vt:lpstr>
      <vt:lpstr>TCconexion</vt:lpstr>
      <vt:lpstr>Factores!Títulos_a_imprimir</vt:lpstr>
      <vt:lpstr>Historico!Títulos_a_imprimir</vt:lpstr>
      <vt:lpstr>PCSPT!Títulos_a_imprimir</vt:lpstr>
      <vt:lpstr>TA_VAD!Títulos_a_imprimir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Cesar Bernabel Espinoza</dc:creator>
  <dc:description>Agregar hoja de informe</dc:description>
  <cp:lastModifiedBy>Juan José Javier Jara</cp:lastModifiedBy>
  <cp:lastPrinted>2012-08-23T19:31:47Z</cp:lastPrinted>
  <dcterms:created xsi:type="dcterms:W3CDTF">1997-06-30T13:53:49Z</dcterms:created>
  <dcterms:modified xsi:type="dcterms:W3CDTF">2012-11-29T19:57:23Z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ntativeReviewCycleID">
    <vt:i4>1807419003</vt:i4>
  </property>
  <property fmtid="{D5CDD505-2E9C-101B-9397-08002B2CF9AE}" pid="3" name="_ReviewCycleID">
    <vt:i4>1807419003</vt:i4>
  </property>
  <property fmtid="{D5CDD505-2E9C-101B-9397-08002B2CF9AE}" pid="4" name="_NewReviewCycle">
    <vt:lpwstr/>
  </property>
  <property fmtid="{D5CDD505-2E9C-101B-9397-08002B2CF9AE}" pid="5" name="_EmailSubject">
    <vt:lpwstr>Revise "AJ04112010"</vt:lpwstr>
  </property>
  <property fmtid="{D5CDD505-2E9C-101B-9397-08002B2CF9AE}" pid="6" name="_AuthorEmail">
    <vt:lpwstr>jventura@osinerg.gob.pe</vt:lpwstr>
  </property>
  <property fmtid="{D5CDD505-2E9C-101B-9397-08002B2CF9AE}" pid="7" name="_AuthorEmailDisplayName">
    <vt:lpwstr>Jorge Luis Ventura Flores</vt:lpwstr>
  </property>
  <property fmtid="{D5CDD505-2E9C-101B-9397-08002B2CF9AE}" pid="8" name="_EmailEntryID">
    <vt:lpwstr>000000004B157D37AECE5D408C034A125763F53A0700E12EE4B10B450842B43A15BA5EA84EB800000016118700000D3454768D1BA5429B018E609866907F000002A776770000</vt:lpwstr>
  </property>
  <property fmtid="{D5CDD505-2E9C-101B-9397-08002B2CF9AE}" pid="9" name="_EmailStoreID0">
    <vt:lpwstr>0000000038A1BB1005E5101AA1BB08002B2A56C20000454D534D44422E444C4C00000000000000001B55FA20AA6611CD9BC800AA002FC45A0C0000005352564D41494C3032002F6F3D4F73696E6572672F6F753D46697273742041646D696E6973747261746976652047726F75702F636E3D526563697069656E74732F636E3</vt:lpwstr>
  </property>
  <property fmtid="{D5CDD505-2E9C-101B-9397-08002B2CF9AE}" pid="10" name="_EmailStoreID1">
    <vt:lpwstr>D636265726E6162656C00</vt:lpwstr>
  </property>
  <property fmtid="{D5CDD505-2E9C-101B-9397-08002B2CF9AE}" pid="11" name="_ReviewingToolsShownOnce">
    <vt:lpwstr/>
  </property>
  <property fmtid="{D5CDD505-2E9C-101B-9397-08002B2CF9AE}" pid="12" name="ContentTypeId">
    <vt:lpwstr>0x0101002FAF54A0A63D6842840600891AFE3E5B</vt:lpwstr>
  </property>
  <property fmtid="{D5CDD505-2E9C-101B-9397-08002B2CF9AE}" pid="13" name="_dlc_DocIdItemGuid">
    <vt:lpwstr>83f6e0cf-ebb7-406f-abcf-40e86e68cd3d</vt:lpwstr>
  </property>
</Properties>
</file>