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HL\2023\5. Programa Anual de Supervisión\8. PSES 24-2023-Osinergmin-DSHL\6. Evaluación\"/>
    </mc:Choice>
  </mc:AlternateContent>
  <bookViews>
    <workbookView xWindow="0" yWindow="0" windowWidth="19200" windowHeight="6180" activeTab="1"/>
  </bookViews>
  <sheets>
    <sheet name="Resumen" sheetId="1" r:id="rId1"/>
    <sheet name="COINCE" sheetId="16" r:id="rId2"/>
    <sheet name="INSPECCION - M&amp;M" sheetId="1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5" l="1"/>
  <c r="G31" i="15"/>
  <c r="F29" i="15"/>
  <c r="I8" i="16"/>
  <c r="K8" i="16"/>
  <c r="K9" i="16"/>
  <c r="H9" i="16"/>
  <c r="H8" i="16"/>
  <c r="K7" i="16"/>
  <c r="H7" i="16"/>
  <c r="K6" i="16"/>
  <c r="H6" i="16"/>
  <c r="I4" i="16"/>
  <c r="K4" i="16" s="1"/>
  <c r="K5" i="16"/>
  <c r="D15" i="16" s="1"/>
  <c r="D22" i="15"/>
  <c r="L17" i="15"/>
  <c r="K17" i="15"/>
  <c r="H17" i="15"/>
  <c r="L16" i="15"/>
  <c r="K16" i="15" s="1"/>
  <c r="H16" i="15"/>
  <c r="I14" i="15"/>
  <c r="L15" i="15"/>
  <c r="K15" i="15" s="1"/>
  <c r="L14" i="15"/>
  <c r="H15" i="15"/>
  <c r="H14" i="15"/>
  <c r="L13" i="15"/>
  <c r="L12" i="15"/>
  <c r="L11" i="15"/>
  <c r="L10" i="15"/>
  <c r="L9" i="15"/>
  <c r="L8" i="15"/>
  <c r="L7" i="15"/>
  <c r="L6" i="15"/>
  <c r="L5" i="15"/>
  <c r="L4" i="15"/>
  <c r="I10" i="1"/>
  <c r="G24" i="16"/>
  <c r="F26" i="16" s="1"/>
  <c r="H12" i="16"/>
  <c r="I12" i="16" s="1"/>
  <c r="H5" i="16"/>
  <c r="H4" i="16"/>
  <c r="K14" i="15" l="1"/>
  <c r="D16" i="16"/>
  <c r="K13" i="15"/>
  <c r="H13" i="15"/>
  <c r="K12" i="15"/>
  <c r="H12" i="15"/>
  <c r="K11" i="15"/>
  <c r="H11" i="15"/>
  <c r="K10" i="15"/>
  <c r="H10" i="15"/>
  <c r="I8" i="15"/>
  <c r="K9" i="15"/>
  <c r="H9" i="15"/>
  <c r="H8" i="15"/>
  <c r="K6" i="15"/>
  <c r="K7" i="15"/>
  <c r="H7" i="15"/>
  <c r="H6" i="15"/>
  <c r="K8" i="15" l="1"/>
  <c r="H4" i="15"/>
  <c r="K4" i="15"/>
  <c r="H5" i="15"/>
  <c r="K5" i="15"/>
  <c r="G10" i="1" l="1"/>
  <c r="H19" i="15" l="1"/>
  <c r="I19" i="15" s="1"/>
  <c r="D23" i="15" l="1"/>
</calcChain>
</file>

<file path=xl/sharedStrings.xml><?xml version="1.0" encoding="utf-8"?>
<sst xmlns="http://schemas.openxmlformats.org/spreadsheetml/2006/main" count="124" uniqueCount="74">
  <si>
    <t>Factor de Evaluación</t>
  </si>
  <si>
    <t>Criterio de Evaluación para Supervisión</t>
  </si>
  <si>
    <t>Rango de Evaluación</t>
  </si>
  <si>
    <t>N°</t>
  </si>
  <si>
    <t>Objeto del Contrato</t>
  </si>
  <si>
    <t>Cliente</t>
  </si>
  <si>
    <t xml:space="preserve">Documento </t>
  </si>
  <si>
    <t xml:space="preserve">Inicio </t>
  </si>
  <si>
    <t xml:space="preserve">Fin </t>
  </si>
  <si>
    <t>Tiempo</t>
  </si>
  <si>
    <t>Folio</t>
  </si>
  <si>
    <t>Monto Valido</t>
  </si>
  <si>
    <t>Penalidad</t>
  </si>
  <si>
    <t>Fecha de Validez de los Contratos:</t>
  </si>
  <si>
    <t>Número de Veces el Valor Referencial</t>
  </si>
  <si>
    <t>Puntaje Factor de Evaluación</t>
  </si>
  <si>
    <t>Asignado</t>
  </si>
  <si>
    <t>Observación</t>
  </si>
  <si>
    <t>Monto</t>
  </si>
  <si>
    <t>CRITERIOS DE EVALUACIÓN TÉCNICA DE LA EST</t>
  </si>
  <si>
    <t>Propuesta Técnica</t>
  </si>
  <si>
    <t>Propuesta Económica</t>
  </si>
  <si>
    <t>Prop. Económica más baja</t>
  </si>
  <si>
    <t>RESULTADO FINAL</t>
  </si>
  <si>
    <t>OSINERGMIN</t>
  </si>
  <si>
    <t>Experiencia del Postor</t>
  </si>
  <si>
    <t>FACTORES TECNICOS</t>
  </si>
  <si>
    <t>Valor Referencial:</t>
  </si>
  <si>
    <t>Valor Experiencia del Postor</t>
  </si>
  <si>
    <t>Monto igual o mayor a 2.5 veces el valor referencial hasta 3 veces el valor referencial, 100 puntos.</t>
  </si>
  <si>
    <t>Monto igual o mayor a 2 veces el valor referencial y menor a 2.5 veces el valor referencial, 95 puntos.</t>
  </si>
  <si>
    <t>Monto igual o mayor a 1.5 veces el valor referencial y menor a 2 veces el valor referencial, 85 puntos.</t>
  </si>
  <si>
    <t>Monto mayor a 1 vez el valor referencial y menor a 1.5 veces el valor referencial, 80 puntos.</t>
  </si>
  <si>
    <t>SI</t>
  </si>
  <si>
    <t>Factor</t>
  </si>
  <si>
    <t>Propuesta Ecónomica</t>
  </si>
  <si>
    <t>PUNTAJE TOTAL TECNICO</t>
  </si>
  <si>
    <t>Brindar locación de servicios de "Supervisión y fiscalización de: actividades e inbstalaciones en refinerías, plantas de abastecimiento y plantas de lubricantes"</t>
  </si>
  <si>
    <t>Contrato de Locación de Servicios N° SUP1600262</t>
  </si>
  <si>
    <t>CONSTANCIA DE PRESTACION DE SERVICIOS DE SUPERVISIÓN N° DSHL-233-2017</t>
  </si>
  <si>
    <t>Brindar locación de servicios de "Supervisión y fiscalización del Oleoducto Norperuano"</t>
  </si>
  <si>
    <t>Contrato de Locación de Servicios N° SUP1800007</t>
  </si>
  <si>
    <t>CONSTANCIA DE PRESTACION DE SERVICIOS DE SUPERVISIÓN N° DSHL-47-2019</t>
  </si>
  <si>
    <t>Contrato de Locación de Servicios N° SUP1900022</t>
  </si>
  <si>
    <t>CONSTANCIA DE PRESTACION DE SERVICIOS DE SUPERVISIÓN N° DSHL-37-2021</t>
  </si>
  <si>
    <t>Contrato de Locación de Servicios N° SUP2100030</t>
  </si>
  <si>
    <t>CONSTANCIA DE PRESTACION DE SERVICIOS DE SUPERVISIÓN N° DSHL-113-2022</t>
  </si>
  <si>
    <t>Contrato de Locación de Servicios N° SUP2200057</t>
  </si>
  <si>
    <t>CONSTANCIA DE PRESTACION DE SERVICIOS DE SUPERVISIÓN N° DSHL-126-2023</t>
  </si>
  <si>
    <t xml:space="preserve">COMPAÑÍA DE INGENIERIA Y CONSTRUCCION ESPECIALIZADA S.R.L. </t>
  </si>
  <si>
    <t xml:space="preserve">CONSORCIO INSPECCION Y MANTENIMIENTO GOWAL E.I.R.L. – M &amp; M ADVISORS S.A.C. </t>
  </si>
  <si>
    <t xml:space="preserve">EXPERIENCIA DEL POSTOR: En el Servicio de supervisión, fiscalización, diseño, construcción, inspección, mantenimiento u operaciones aplicadas sobre Instalaciones de Hidrocarburos. 
Evaluación:
Se evaluará en función al monto facturado acumulado por el postor de hasta [TRES (3) VECES EL VALOR REFERENCIAL, por la contratación de servicios de supervisión, fiscalización, diseño, construcción, inspección, mantenimiento u operaciones aplicadas sobre Instalaciones de Hidrocarburos, durante un periodo de OCHO (8) AÑOS] a la fecha de la presentación de propuestas.
Acreditación:
Copia simple de contratos u órdenes de servicios, y su respectiva conformidad por la prestación efectuada; o comprobantes de pago (b) cuya cancelación se acredite documental y fehacientemente, con un máximo de veinte (20) servicios prestados (c) a uno o más clientes, sin establecer limitaciones por el monto o el tiempo del servicio ejecutado.
En caso los postores presenten varios comprobantes de pago para acreditar una sola contratación, se debe acreditar que corresponden a dicha contratación; de lo contrario, se asumirá que los comprobantes acreditan contrataciones independientes, en cuyo caso solo se considerará, para la evaluación, las veinte (20) primeras contrataciones indicadas en el Anexo Nº 5 referido a la Experiencia del Postor.
</t>
  </si>
  <si>
    <t>FECHA DE CÓMPUTO DE LOS 8 ÚLTIMOS AÑOS: 18/08/2015</t>
  </si>
  <si>
    <t xml:space="preserve">INSPECCION Y MANTENIMIENTO GOWAL E.I.R.L.: 45% en Promesa de Consorcio. 
36% en Contratos de Consorcio del Contrato de Locación de Servicios N° SUP1600262.
</t>
  </si>
  <si>
    <t xml:space="preserve">INSPECCION Y MANTENIMIENTO GOWAL E.I.R.L.: 45% en Promesa de Consorcio. 
33% en Contratos de Consorcio del Contrato de Locación de Servicios N° SUP1600262.
</t>
  </si>
  <si>
    <t xml:space="preserve">INSPECCION Y MANTENIMIENTO GOWAL E.I.R.L.: 45% en Promesa de Consorcio. 
33% en Contratos de Consorcio del Contrato de Locación de Servicios N° SUP1900022.
</t>
  </si>
  <si>
    <t xml:space="preserve">INSPECCION Y MANTENIMIENTO GOWAL E.I.R.L.: 45% en Promesa de Consorcio. 
33% en Contratos de Consorcio del Contrato de Locación de Servicios N° SUP2100030.
</t>
  </si>
  <si>
    <t xml:space="preserve">INSPECCION Y MANTENIMIENTO GOWAL E.I.R.L.: 45% en Promesa de Consorcio. 
33% en Contratos de Consorcio del Contrato de Locación de Servicios N° SUP2200057.
</t>
  </si>
  <si>
    <t>Contrato de Locación de Servicios N° SUP1800059</t>
  </si>
  <si>
    <t>Brindar locación de servicios profesionales de supervisión de Gas Natural</t>
  </si>
  <si>
    <t xml:space="preserve">INSPECCION Y MANTENIMIENTO GOWAL E.I.R.L.: 45% en Promesa de Consorcio. 
73% en Contratos de Consorcio del Contrato de Locación de Servicios N° SUP1800059.
</t>
  </si>
  <si>
    <t>CONSTANCIA DE PRESTACION DE SERVICIOS DE SUPERVISIÓN N° 101-DSGN/GSE</t>
  </si>
  <si>
    <t>Contrato de Locación de Servicios N° SUP2100096</t>
  </si>
  <si>
    <t xml:space="preserve">INSPECCION Y MANTENIMIENTO GOWAL E.I.R.L.: 45% en Promesa de Consorcio. 
73% en Contratos de Consorcio del Contrato de Locación de Servicios N° SUP2100096.
</t>
  </si>
  <si>
    <t>CONSTANCIA DE PRESTACION DE SERVICIOS DE SUPERVISIÓN N° 61-2023-ALOG</t>
  </si>
  <si>
    <t>3.60 veces el valor referencial.</t>
  </si>
  <si>
    <t>Brindar locación de servicios de "Supervisión y fiscalización de: actividades exploración y explotación de hidrocarburos, en sierra y selva peruana"</t>
  </si>
  <si>
    <t>CONSTANCIA DE PRESTACION DE SERVICIOS DE SUPERVISIÓN N° DSHL-38-2021</t>
  </si>
  <si>
    <t>Contrato de Locación de Servicios N° SUP1800010</t>
  </si>
  <si>
    <t>Contrato de Locación de Servicios N° SUP2100014</t>
  </si>
  <si>
    <t>CONSTANCIA DE PRESTACION DE SERVICIOS DE SUPERVISIÓN N° DSHL-46-2022</t>
  </si>
  <si>
    <t>CONSTANCIA DE PRESTACION DE SERVICIOS DE SUPERVISIÓN N° DSHL-123-2023</t>
  </si>
  <si>
    <t>Contrato de Locación de Servicios N° SUP2200042</t>
  </si>
  <si>
    <t>5.32 veces el valor referencial.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</si>
</sst>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S/&quot;\ * #,##0.00_-;\-&quot;S/&quot;\ * #,##0.00_-;_-&quot;S/&quot;\ * &quot;-&quot;??_-;_-@_-"/>
    <numFmt numFmtId="164" formatCode="_-&quot;S/&quot;* #,##0.00_-;\-&quot;S/&quot;* #,##0.00_-;_-&quot;S/&quot;* &quot;-&quot;??_-;_-@_-"/>
    <numFmt numFmtId="165" formatCode="0.0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0" fillId="0" borderId="11" xfId="0" applyBorder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3" fillId="2" borderId="8" xfId="0" applyFont="1" applyFill="1" applyBorder="1"/>
    <xf numFmtId="0" fontId="0" fillId="0" borderId="0" xfId="0" applyAlignment="1">
      <alignment vertical="top" wrapText="1"/>
    </xf>
    <xf numFmtId="0" fontId="0" fillId="2" borderId="0" xfId="0" applyFill="1"/>
    <xf numFmtId="4" fontId="3" fillId="2" borderId="0" xfId="0" applyNumberFormat="1" applyFont="1" applyFill="1"/>
    <xf numFmtId="164" fontId="3" fillId="4" borderId="0" xfId="0" applyNumberFormat="1" applyFont="1" applyFill="1"/>
    <xf numFmtId="164" fontId="8" fillId="4" borderId="0" xfId="0" applyNumberFormat="1" applyFont="1" applyFill="1"/>
    <xf numFmtId="166" fontId="5" fillId="5" borderId="2" xfId="0" applyNumberFormat="1" applyFont="1" applyFill="1" applyBorder="1"/>
    <xf numFmtId="0" fontId="10" fillId="0" borderId="0" xfId="0" applyFont="1"/>
    <xf numFmtId="4" fontId="9" fillId="0" borderId="0" xfId="0" applyNumberFormat="1" applyFont="1"/>
    <xf numFmtId="2" fontId="10" fillId="0" borderId="0" xfId="0" applyNumberFormat="1" applyFont="1"/>
    <xf numFmtId="0" fontId="0" fillId="0" borderId="0" xfId="0" applyFont="1"/>
    <xf numFmtId="44" fontId="0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5" fillId="0" borderId="1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0" fontId="8" fillId="5" borderId="8" xfId="0" applyFont="1" applyFill="1" applyBorder="1" applyAlignment="1">
      <alignment wrapText="1"/>
    </xf>
    <xf numFmtId="14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44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0" xfId="0" applyFont="1" applyFill="1"/>
    <xf numFmtId="0" fontId="3" fillId="0" borderId="10" xfId="0" applyFont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44" fontId="0" fillId="3" borderId="1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44" fontId="0" fillId="4" borderId="0" xfId="0" applyNumberFormat="1" applyFill="1"/>
    <xf numFmtId="44" fontId="3" fillId="4" borderId="0" xfId="0" applyNumberFormat="1" applyFont="1" applyFill="1"/>
    <xf numFmtId="44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4" fontId="0" fillId="3" borderId="1" xfId="0" applyNumberFormat="1" applyFont="1" applyFill="1" applyBorder="1" applyAlignment="1">
      <alignment horizontal="center" vertical="center"/>
    </xf>
    <xf numFmtId="2" fontId="3" fillId="5" borderId="9" xfId="0" applyNumberFormat="1" applyFont="1" applyFill="1" applyBorder="1"/>
    <xf numFmtId="0" fontId="3" fillId="0" borderId="10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44" fontId="0" fillId="6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zoomScale="63" zoomScaleNormal="63" workbookViewId="0">
      <selection activeCell="V8" sqref="V8"/>
    </sheetView>
  </sheetViews>
  <sheetFormatPr baseColWidth="10" defaultRowHeight="14.5" x14ac:dyDescent="0.35"/>
  <cols>
    <col min="3" max="3" width="13.453125" customWidth="1"/>
    <col min="4" max="4" width="71.54296875" customWidth="1"/>
    <col min="5" max="5" width="24.453125" customWidth="1"/>
    <col min="6" max="6" width="22" customWidth="1"/>
    <col min="7" max="7" width="20.453125" customWidth="1"/>
    <col min="8" max="8" width="28.26953125" customWidth="1"/>
    <col min="9" max="9" width="20.453125" customWidth="1"/>
    <col min="10" max="10" width="28.26953125" customWidth="1"/>
  </cols>
  <sheetData>
    <row r="2" spans="3:10" ht="15" customHeight="1" x14ac:dyDescent="0.35"/>
    <row r="3" spans="3:10" ht="110" customHeight="1" thickBot="1" x14ac:dyDescent="0.4">
      <c r="C3" s="4"/>
      <c r="E3" s="4"/>
      <c r="F3" s="15"/>
      <c r="G3" s="84" t="s">
        <v>49</v>
      </c>
      <c r="H3" s="85"/>
      <c r="I3" s="84" t="s">
        <v>50</v>
      </c>
      <c r="J3" s="85"/>
    </row>
    <row r="4" spans="3:10" ht="29.5" thickBot="1" x14ac:dyDescent="0.4">
      <c r="C4" s="1" t="s">
        <v>0</v>
      </c>
      <c r="D4" s="2" t="s">
        <v>1</v>
      </c>
      <c r="E4" s="3" t="s">
        <v>2</v>
      </c>
      <c r="F4" s="16" t="s">
        <v>15</v>
      </c>
      <c r="G4" s="16" t="s">
        <v>16</v>
      </c>
      <c r="H4" s="16" t="s">
        <v>17</v>
      </c>
      <c r="I4" s="16" t="s">
        <v>16</v>
      </c>
      <c r="J4" s="16" t="s">
        <v>17</v>
      </c>
    </row>
    <row r="5" spans="3:10" ht="15" thickBot="1" x14ac:dyDescent="0.4">
      <c r="C5" s="93" t="s">
        <v>26</v>
      </c>
      <c r="D5" s="94"/>
      <c r="E5" s="94"/>
      <c r="F5" s="94"/>
      <c r="H5" s="4"/>
      <c r="J5" s="4"/>
    </row>
    <row r="6" spans="3:10" ht="118.5" customHeight="1" thickBot="1" x14ac:dyDescent="0.4">
      <c r="C6" s="89" t="s">
        <v>25</v>
      </c>
      <c r="D6" s="96" t="s">
        <v>51</v>
      </c>
      <c r="E6" s="7" t="s">
        <v>29</v>
      </c>
      <c r="F6" s="8">
        <v>100</v>
      </c>
      <c r="G6" s="86">
        <v>100</v>
      </c>
      <c r="H6" s="89" t="s">
        <v>73</v>
      </c>
      <c r="I6" s="86">
        <v>100</v>
      </c>
      <c r="J6" s="89" t="s">
        <v>65</v>
      </c>
    </row>
    <row r="7" spans="3:10" ht="118.5" customHeight="1" thickBot="1" x14ac:dyDescent="0.4">
      <c r="C7" s="90"/>
      <c r="D7" s="97"/>
      <c r="E7" s="7" t="s">
        <v>30</v>
      </c>
      <c r="F7" s="8">
        <v>95</v>
      </c>
      <c r="G7" s="87"/>
      <c r="H7" s="90"/>
      <c r="I7" s="87"/>
      <c r="J7" s="90"/>
    </row>
    <row r="8" spans="3:10" ht="120.5" customHeight="1" thickBot="1" x14ac:dyDescent="0.4">
      <c r="C8" s="90"/>
      <c r="D8" s="97"/>
      <c r="E8" s="7" t="s">
        <v>31</v>
      </c>
      <c r="F8" s="9">
        <v>85</v>
      </c>
      <c r="G8" s="87"/>
      <c r="H8" s="90"/>
      <c r="I8" s="87"/>
      <c r="J8" s="90"/>
    </row>
    <row r="9" spans="3:10" ht="90" customHeight="1" thickBot="1" x14ac:dyDescent="0.4">
      <c r="C9" s="95"/>
      <c r="D9" s="98"/>
      <c r="E9" s="10" t="s">
        <v>32</v>
      </c>
      <c r="F9" s="8">
        <v>80</v>
      </c>
      <c r="G9" s="88"/>
      <c r="H9" s="91"/>
      <c r="I9" s="88"/>
      <c r="J9" s="91"/>
    </row>
    <row r="10" spans="3:10" ht="19" thickBot="1" x14ac:dyDescent="0.5">
      <c r="C10" s="92" t="s">
        <v>36</v>
      </c>
      <c r="D10" s="92"/>
      <c r="E10" s="92"/>
      <c r="F10" s="92"/>
      <c r="G10" s="92">
        <f>+G6</f>
        <v>100</v>
      </c>
      <c r="H10" s="92"/>
      <c r="I10" s="92">
        <f>+I6</f>
        <v>100</v>
      </c>
      <c r="J10" s="92"/>
    </row>
    <row r="14" spans="3:10" ht="15.5" x14ac:dyDescent="0.35">
      <c r="G14" s="25"/>
      <c r="H14" s="24"/>
      <c r="I14" s="25"/>
      <c r="J14" s="24"/>
    </row>
    <row r="15" spans="3:10" ht="15.5" x14ac:dyDescent="0.35">
      <c r="G15" s="25"/>
      <c r="H15" s="26"/>
      <c r="I15" s="25"/>
      <c r="J15" s="26"/>
    </row>
  </sheetData>
  <mergeCells count="12">
    <mergeCell ref="I3:J3"/>
    <mergeCell ref="I6:I9"/>
    <mergeCell ref="J6:J9"/>
    <mergeCell ref="I10:J10"/>
    <mergeCell ref="C10:F10"/>
    <mergeCell ref="C5:F5"/>
    <mergeCell ref="C6:C9"/>
    <mergeCell ref="D6:D9"/>
    <mergeCell ref="G3:H3"/>
    <mergeCell ref="G6:G9"/>
    <mergeCell ref="H6:H9"/>
    <mergeCell ref="G10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abSelected="1" workbookViewId="0">
      <selection activeCell="L37" sqref="L37"/>
    </sheetView>
  </sheetViews>
  <sheetFormatPr baseColWidth="10" defaultRowHeight="14.5" x14ac:dyDescent="0.35"/>
  <cols>
    <col min="1" max="1" width="4.7265625" customWidth="1"/>
    <col min="2" max="2" width="13.453125" customWidth="1"/>
    <col min="3" max="3" width="36.54296875" customWidth="1"/>
    <col min="4" max="4" width="32.1796875" style="53" bestFit="1" customWidth="1"/>
    <col min="5" max="5" width="30.453125" style="35" customWidth="1"/>
    <col min="6" max="6" width="17.54296875" style="12" customWidth="1"/>
    <col min="7" max="7" width="16.36328125" style="12" bestFit="1" customWidth="1"/>
    <col min="8" max="8" width="12.26953125" style="12" customWidth="1"/>
    <col min="9" max="9" width="15" style="12" bestFit="1" customWidth="1"/>
    <col min="10" max="10" width="15" style="12" customWidth="1"/>
    <col min="11" max="11" width="20.54296875" style="30" bestFit="1" customWidth="1"/>
    <col min="12" max="12" width="12.26953125" style="30" customWidth="1"/>
    <col min="13" max="13" width="10.7265625" style="12" customWidth="1"/>
    <col min="14" max="14" width="24.54296875" style="12" customWidth="1"/>
    <col min="15" max="15" width="13.36328125" style="52" bestFit="1" customWidth="1"/>
  </cols>
  <sheetData>
    <row r="2" spans="2:14" ht="32.15" customHeight="1" thickBot="1" x14ac:dyDescent="0.4">
      <c r="E2" s="107"/>
      <c r="F2" s="108"/>
      <c r="G2" s="108"/>
      <c r="H2" s="108"/>
      <c r="I2" s="108"/>
      <c r="J2" s="108"/>
      <c r="K2" s="108"/>
      <c r="L2" s="108"/>
      <c r="M2" s="108"/>
      <c r="N2"/>
    </row>
    <row r="3" spans="2:14" ht="15" thickBot="1" x14ac:dyDescent="0.4">
      <c r="B3" s="5" t="s">
        <v>3</v>
      </c>
      <c r="C3" s="5" t="s">
        <v>4</v>
      </c>
      <c r="D3" s="54" t="s">
        <v>5</v>
      </c>
      <c r="E3" s="32" t="s">
        <v>6</v>
      </c>
      <c r="F3" s="5" t="s">
        <v>7</v>
      </c>
      <c r="G3" s="5" t="s">
        <v>8</v>
      </c>
      <c r="H3" s="5" t="s">
        <v>9</v>
      </c>
      <c r="I3" s="5" t="s">
        <v>18</v>
      </c>
      <c r="J3" s="5" t="s">
        <v>12</v>
      </c>
      <c r="K3" s="29" t="s">
        <v>11</v>
      </c>
      <c r="L3" s="75" t="s">
        <v>34</v>
      </c>
      <c r="M3" s="73" t="s">
        <v>10</v>
      </c>
      <c r="N3" s="73"/>
    </row>
    <row r="4" spans="2:14" s="27" customFormat="1" ht="77.5" customHeight="1" thickBot="1" x14ac:dyDescent="0.4">
      <c r="B4" s="101">
        <v>1</v>
      </c>
      <c r="C4" s="99" t="s">
        <v>66</v>
      </c>
      <c r="D4" s="101" t="s">
        <v>24</v>
      </c>
      <c r="E4" s="62" t="s">
        <v>68</v>
      </c>
      <c r="F4" s="46">
        <v>43150</v>
      </c>
      <c r="G4" s="46">
        <v>44245</v>
      </c>
      <c r="H4" s="63">
        <f t="shared" ref="H4" si="0">+G4-F4</f>
        <v>1095</v>
      </c>
      <c r="I4" s="47">
        <f>1546670.09*3</f>
        <v>4640010.2700000005</v>
      </c>
      <c r="J4" s="61"/>
      <c r="K4" s="28">
        <f t="shared" ref="K4:K9" si="1">+I4</f>
        <v>4640010.2700000005</v>
      </c>
      <c r="L4" s="76"/>
      <c r="M4" s="61">
        <v>30</v>
      </c>
      <c r="N4" s="99"/>
    </row>
    <row r="5" spans="2:14" s="27" customFormat="1" ht="82.5" customHeight="1" thickBot="1" x14ac:dyDescent="0.4">
      <c r="B5" s="102"/>
      <c r="C5" s="100"/>
      <c r="D5" s="102"/>
      <c r="E5" s="33" t="s">
        <v>67</v>
      </c>
      <c r="F5" s="40">
        <v>43150</v>
      </c>
      <c r="G5" s="40">
        <v>44245</v>
      </c>
      <c r="H5" s="41">
        <f>+G5-F5</f>
        <v>1095</v>
      </c>
      <c r="I5" s="42">
        <v>4617485.3600000003</v>
      </c>
      <c r="J5" s="43" t="s">
        <v>33</v>
      </c>
      <c r="K5" s="77">
        <f t="shared" si="1"/>
        <v>4617485.3600000003</v>
      </c>
      <c r="L5" s="78"/>
      <c r="M5" s="43">
        <v>29</v>
      </c>
      <c r="N5" s="100"/>
    </row>
    <row r="6" spans="2:14" s="27" customFormat="1" ht="82.5" customHeight="1" thickBot="1" x14ac:dyDescent="0.4">
      <c r="B6" s="101">
        <v>2</v>
      </c>
      <c r="C6" s="99" t="s">
        <v>66</v>
      </c>
      <c r="D6" s="101" t="s">
        <v>24</v>
      </c>
      <c r="E6" s="62" t="s">
        <v>69</v>
      </c>
      <c r="F6" s="46">
        <v>44257</v>
      </c>
      <c r="G6" s="46">
        <v>44621</v>
      </c>
      <c r="H6" s="63">
        <f t="shared" ref="H6" si="2">+G6-F6</f>
        <v>364</v>
      </c>
      <c r="I6" s="47">
        <v>1546670.09</v>
      </c>
      <c r="J6" s="61"/>
      <c r="K6" s="28">
        <f t="shared" si="1"/>
        <v>1546670.09</v>
      </c>
      <c r="L6" s="76"/>
      <c r="M6" s="61">
        <v>60</v>
      </c>
      <c r="N6" s="83"/>
    </row>
    <row r="7" spans="2:14" s="27" customFormat="1" ht="82.5" customHeight="1" thickBot="1" x14ac:dyDescent="0.4">
      <c r="B7" s="102"/>
      <c r="C7" s="100"/>
      <c r="D7" s="102"/>
      <c r="E7" s="33" t="s">
        <v>70</v>
      </c>
      <c r="F7" s="40">
        <v>44257</v>
      </c>
      <c r="G7" s="40">
        <v>44621</v>
      </c>
      <c r="H7" s="41">
        <f>+G7-F7</f>
        <v>364</v>
      </c>
      <c r="I7" s="42">
        <v>1546237.07</v>
      </c>
      <c r="J7" s="43" t="s">
        <v>33</v>
      </c>
      <c r="K7" s="77">
        <f t="shared" si="1"/>
        <v>1546237.07</v>
      </c>
      <c r="L7" s="78"/>
      <c r="M7" s="43">
        <v>59</v>
      </c>
      <c r="N7" s="83"/>
    </row>
    <row r="8" spans="2:14" s="27" customFormat="1" ht="82.5" customHeight="1" thickBot="1" x14ac:dyDescent="0.4">
      <c r="B8" s="101">
        <v>3</v>
      </c>
      <c r="C8" s="99" t="s">
        <v>66</v>
      </c>
      <c r="D8" s="101" t="s">
        <v>24</v>
      </c>
      <c r="E8" s="62" t="s">
        <v>72</v>
      </c>
      <c r="F8" s="46">
        <v>44651</v>
      </c>
      <c r="G8" s="46">
        <v>45015</v>
      </c>
      <c r="H8" s="63">
        <f t="shared" ref="H8" si="3">+G8-F8</f>
        <v>364</v>
      </c>
      <c r="I8" s="47">
        <f>1546670.09+80970.42</f>
        <v>1627640.51</v>
      </c>
      <c r="J8" s="61"/>
      <c r="K8" s="28">
        <f t="shared" si="1"/>
        <v>1627640.51</v>
      </c>
      <c r="L8" s="76"/>
      <c r="M8" s="61">
        <v>87</v>
      </c>
      <c r="N8" s="83"/>
    </row>
    <row r="9" spans="2:14" s="27" customFormat="1" ht="82.5" customHeight="1" thickBot="1" x14ac:dyDescent="0.4">
      <c r="B9" s="102"/>
      <c r="C9" s="100"/>
      <c r="D9" s="102"/>
      <c r="E9" s="33" t="s">
        <v>71</v>
      </c>
      <c r="F9" s="40">
        <v>44651</v>
      </c>
      <c r="G9" s="40">
        <v>45015</v>
      </c>
      <c r="H9" s="41">
        <f>+G9-F9</f>
        <v>364</v>
      </c>
      <c r="I9" s="42">
        <v>1624941.5</v>
      </c>
      <c r="J9" s="43" t="s">
        <v>33</v>
      </c>
      <c r="K9" s="77">
        <f t="shared" si="1"/>
        <v>1624941.5</v>
      </c>
      <c r="L9" s="78"/>
      <c r="M9" s="43">
        <v>86</v>
      </c>
      <c r="N9" s="83"/>
    </row>
    <row r="10" spans="2:14" s="44" customFormat="1" ht="82.5" customHeight="1" thickBot="1" x14ac:dyDescent="0.4">
      <c r="B10" s="79"/>
      <c r="C10" s="80"/>
      <c r="D10" s="79"/>
      <c r="E10" s="68"/>
      <c r="F10" s="46"/>
      <c r="G10" s="46"/>
      <c r="H10" s="69"/>
      <c r="I10" s="47"/>
      <c r="J10" s="70"/>
      <c r="K10" s="71"/>
      <c r="L10" s="81"/>
      <c r="M10" s="70"/>
      <c r="N10" s="70"/>
    </row>
    <row r="11" spans="2:14" ht="18.5" x14ac:dyDescent="0.35">
      <c r="B11" s="6"/>
      <c r="C11" s="6"/>
      <c r="D11" s="55"/>
      <c r="E11" s="34"/>
      <c r="F11" s="13"/>
      <c r="G11" s="13"/>
      <c r="H11" s="11"/>
      <c r="I11" s="13"/>
      <c r="J11" s="13"/>
      <c r="K11" s="31"/>
      <c r="L11" s="31"/>
      <c r="M11" s="13"/>
      <c r="N11" s="13"/>
    </row>
    <row r="12" spans="2:14" ht="19" thickBot="1" x14ac:dyDescent="0.5">
      <c r="C12" s="103" t="s">
        <v>19</v>
      </c>
      <c r="D12" s="103"/>
      <c r="E12" s="103"/>
      <c r="F12" s="14"/>
      <c r="G12" s="49">
        <v>44740</v>
      </c>
      <c r="H12" s="48">
        <f>8*365</f>
        <v>2920</v>
      </c>
      <c r="I12" s="49">
        <f>+G12-H12</f>
        <v>41820</v>
      </c>
    </row>
    <row r="13" spans="2:14" ht="15" thickBot="1" x14ac:dyDescent="0.4">
      <c r="C13" s="17" t="s">
        <v>27</v>
      </c>
      <c r="D13" s="56">
        <v>1465293.54</v>
      </c>
      <c r="E13" s="64"/>
      <c r="F13" s="65"/>
      <c r="G13" s="66"/>
      <c r="H13" s="67"/>
    </row>
    <row r="14" spans="2:14" ht="15" customHeight="1" thickBot="1" x14ac:dyDescent="0.4">
      <c r="C14" s="18" t="s">
        <v>13</v>
      </c>
      <c r="D14" s="57"/>
      <c r="E14" s="104" t="s">
        <v>52</v>
      </c>
      <c r="F14" s="105"/>
      <c r="G14" s="105"/>
      <c r="H14" s="106"/>
      <c r="I14" s="14"/>
      <c r="J14" s="14"/>
      <c r="K14" s="74"/>
      <c r="L14" s="74"/>
      <c r="M14" s="14"/>
      <c r="N14" s="14"/>
    </row>
    <row r="15" spans="2:14" x14ac:dyDescent="0.35">
      <c r="C15" t="s">
        <v>28</v>
      </c>
      <c r="D15" s="58">
        <f>+K5+K7+K9</f>
        <v>7788663.9300000006</v>
      </c>
    </row>
    <row r="16" spans="2:14" x14ac:dyDescent="0.35">
      <c r="C16" t="s">
        <v>14</v>
      </c>
      <c r="D16" s="59">
        <f>+D15/D13</f>
        <v>5.3154291050788363</v>
      </c>
      <c r="E16" s="60"/>
      <c r="F16" s="14"/>
      <c r="H16" s="14"/>
      <c r="K16" s="82"/>
      <c r="L16" s="14"/>
      <c r="M16" s="14"/>
      <c r="N16" s="82"/>
    </row>
    <row r="17" spans="5:14" x14ac:dyDescent="0.35">
      <c r="K17" s="82"/>
      <c r="L17" s="82"/>
      <c r="M17" s="82"/>
      <c r="N17" s="82"/>
    </row>
    <row r="18" spans="5:14" x14ac:dyDescent="0.35">
      <c r="E18" s="36" t="s">
        <v>20</v>
      </c>
      <c r="F18" s="19"/>
      <c r="G18" s="20">
        <v>100</v>
      </c>
      <c r="K18" s="82"/>
      <c r="L18" s="82"/>
      <c r="M18" s="82"/>
      <c r="N18" s="82"/>
    </row>
    <row r="19" spans="5:14" x14ac:dyDescent="0.35">
      <c r="E19" s="37"/>
      <c r="F19"/>
      <c r="G19"/>
      <c r="K19" s="82"/>
      <c r="L19" s="82"/>
      <c r="M19" s="82"/>
      <c r="N19" s="82"/>
    </row>
    <row r="20" spans="5:14" x14ac:dyDescent="0.35">
      <c r="E20" s="38" t="s">
        <v>21</v>
      </c>
      <c r="F20" s="21"/>
      <c r="G20" s="50">
        <v>1392000</v>
      </c>
      <c r="K20" s="82"/>
      <c r="L20" s="82"/>
      <c r="M20" s="82"/>
      <c r="N20" s="82"/>
    </row>
    <row r="21" spans="5:14" x14ac:dyDescent="0.35">
      <c r="E21" s="37"/>
      <c r="F21"/>
      <c r="G21"/>
      <c r="K21" s="82"/>
      <c r="L21" s="82"/>
      <c r="M21" s="82"/>
      <c r="N21" s="82"/>
    </row>
    <row r="22" spans="5:14" x14ac:dyDescent="0.35">
      <c r="E22" s="38" t="s">
        <v>22</v>
      </c>
      <c r="F22" s="22">
        <v>1392000</v>
      </c>
      <c r="G22" s="51"/>
      <c r="K22" s="82"/>
      <c r="L22" s="82"/>
      <c r="M22" s="82"/>
      <c r="N22" s="82"/>
    </row>
    <row r="23" spans="5:14" x14ac:dyDescent="0.35">
      <c r="E23" s="37"/>
      <c r="F23"/>
      <c r="G23"/>
    </row>
    <row r="24" spans="5:14" x14ac:dyDescent="0.35">
      <c r="E24" s="36" t="s">
        <v>35</v>
      </c>
      <c r="F24" s="19"/>
      <c r="G24" s="20">
        <f>+F22/G20*100</f>
        <v>100</v>
      </c>
    </row>
    <row r="25" spans="5:14" ht="15" thickBot="1" x14ac:dyDescent="0.4">
      <c r="E25" s="37"/>
      <c r="F25"/>
      <c r="G25"/>
    </row>
    <row r="26" spans="5:14" ht="19" thickBot="1" x14ac:dyDescent="0.5">
      <c r="E26" s="39" t="s">
        <v>23</v>
      </c>
      <c r="F26" s="72">
        <f>+G18*0.8+G24*0.2</f>
        <v>100</v>
      </c>
      <c r="G26" s="23"/>
    </row>
    <row r="28" spans="5:14" x14ac:dyDescent="0.35">
      <c r="E28" s="37"/>
      <c r="F28"/>
      <c r="G28"/>
      <c r="H28"/>
      <c r="I28"/>
      <c r="J28"/>
      <c r="K28"/>
      <c r="L28"/>
      <c r="M28"/>
      <c r="N28"/>
    </row>
    <row r="29" spans="5:14" x14ac:dyDescent="0.35">
      <c r="E29" s="37"/>
      <c r="F29"/>
      <c r="G29"/>
      <c r="H29"/>
      <c r="I29"/>
      <c r="J29"/>
      <c r="K29"/>
      <c r="L29"/>
      <c r="M29"/>
      <c r="N29"/>
    </row>
    <row r="30" spans="5:14" x14ac:dyDescent="0.35">
      <c r="E30" s="37"/>
      <c r="F30"/>
      <c r="G30"/>
      <c r="H30"/>
      <c r="I30"/>
      <c r="J30"/>
      <c r="K30"/>
      <c r="L30"/>
      <c r="M30"/>
      <c r="N30"/>
    </row>
    <row r="31" spans="5:14" x14ac:dyDescent="0.35">
      <c r="E31" s="37"/>
      <c r="F31"/>
      <c r="G31"/>
      <c r="H31"/>
      <c r="I31"/>
      <c r="J31"/>
      <c r="K31"/>
      <c r="L31"/>
      <c r="M31"/>
      <c r="N31"/>
    </row>
    <row r="32" spans="5:14" x14ac:dyDescent="0.35">
      <c r="E32" s="37"/>
      <c r="F32"/>
      <c r="G32"/>
      <c r="H32"/>
      <c r="I32"/>
      <c r="J32"/>
      <c r="K32"/>
      <c r="L32"/>
      <c r="M32"/>
      <c r="N32"/>
    </row>
  </sheetData>
  <mergeCells count="13">
    <mergeCell ref="N4:N5"/>
    <mergeCell ref="B6:B7"/>
    <mergeCell ref="C12:E12"/>
    <mergeCell ref="E14:H14"/>
    <mergeCell ref="E2:M2"/>
    <mergeCell ref="B4:B5"/>
    <mergeCell ref="C4:C5"/>
    <mergeCell ref="D4:D5"/>
    <mergeCell ref="C6:C7"/>
    <mergeCell ref="D6:D7"/>
    <mergeCell ref="B8:B9"/>
    <mergeCell ref="C8:C9"/>
    <mergeCell ref="D8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9"/>
  <sheetViews>
    <sheetView zoomScale="75" zoomScaleNormal="75" workbookViewId="0">
      <selection activeCell="R6" sqref="R6"/>
    </sheetView>
  </sheetViews>
  <sheetFormatPr baseColWidth="10" defaultRowHeight="14.5" x14ac:dyDescent="0.35"/>
  <cols>
    <col min="1" max="1" width="4.7265625" customWidth="1"/>
    <col min="2" max="2" width="13.453125" customWidth="1"/>
    <col min="3" max="3" width="36.54296875" customWidth="1"/>
    <col min="4" max="4" width="32.1796875" style="53" bestFit="1" customWidth="1"/>
    <col min="5" max="5" width="30.453125" style="35" customWidth="1"/>
    <col min="6" max="6" width="17.54296875" style="12" customWidth="1"/>
    <col min="7" max="7" width="16.36328125" style="12" bestFit="1" customWidth="1"/>
    <col min="8" max="8" width="12.26953125" style="12" customWidth="1"/>
    <col min="9" max="9" width="15.81640625" style="12" bestFit="1" customWidth="1"/>
    <col min="10" max="10" width="15" style="12" customWidth="1"/>
    <col min="11" max="11" width="20.54296875" style="30" bestFit="1" customWidth="1"/>
    <col min="12" max="12" width="12.26953125" style="30" customWidth="1"/>
    <col min="13" max="13" width="10.7265625" style="12" customWidth="1"/>
    <col min="14" max="14" width="24.54296875" style="12" customWidth="1"/>
    <col min="15" max="15" width="13.36328125" style="52" bestFit="1" customWidth="1"/>
  </cols>
  <sheetData>
    <row r="2" spans="2:14" ht="32.15" customHeight="1" thickBot="1" x14ac:dyDescent="0.4">
      <c r="E2" s="107"/>
      <c r="F2" s="108"/>
      <c r="G2" s="108"/>
      <c r="H2" s="108"/>
      <c r="I2" s="108"/>
      <c r="J2" s="108"/>
      <c r="K2" s="108"/>
      <c r="L2" s="108"/>
      <c r="M2" s="108"/>
      <c r="N2"/>
    </row>
    <row r="3" spans="2:14" ht="15" thickBot="1" x14ac:dyDescent="0.4">
      <c r="B3" s="5" t="s">
        <v>3</v>
      </c>
      <c r="C3" s="5" t="s">
        <v>4</v>
      </c>
      <c r="D3" s="54" t="s">
        <v>5</v>
      </c>
      <c r="E3" s="32" t="s">
        <v>6</v>
      </c>
      <c r="F3" s="5" t="s">
        <v>7</v>
      </c>
      <c r="G3" s="5" t="s">
        <v>8</v>
      </c>
      <c r="H3" s="5" t="s">
        <v>9</v>
      </c>
      <c r="I3" s="5" t="s">
        <v>18</v>
      </c>
      <c r="J3" s="5" t="s">
        <v>12</v>
      </c>
      <c r="K3" s="29" t="s">
        <v>11</v>
      </c>
      <c r="L3" s="75" t="s">
        <v>34</v>
      </c>
      <c r="M3" s="45" t="s">
        <v>10</v>
      </c>
      <c r="N3" s="73" t="s">
        <v>17</v>
      </c>
    </row>
    <row r="4" spans="2:14" s="27" customFormat="1" ht="77.5" customHeight="1" thickBot="1" x14ac:dyDescent="0.4">
      <c r="B4" s="101">
        <v>1</v>
      </c>
      <c r="C4" s="99" t="s">
        <v>37</v>
      </c>
      <c r="D4" s="101" t="s">
        <v>24</v>
      </c>
      <c r="E4" s="62" t="s">
        <v>38</v>
      </c>
      <c r="F4" s="46">
        <v>42697</v>
      </c>
      <c r="G4" s="46">
        <v>43061</v>
      </c>
      <c r="H4" s="63">
        <f t="shared" ref="H4" si="0">+G4-F4</f>
        <v>364</v>
      </c>
      <c r="I4" s="47">
        <v>3668800</v>
      </c>
      <c r="J4" s="61"/>
      <c r="K4" s="28">
        <f t="shared" ref="K4:K5" si="1">+L4*I4</f>
        <v>594345.6</v>
      </c>
      <c r="L4" s="76">
        <f>0.36*0.45</f>
        <v>0.16200000000000001</v>
      </c>
      <c r="M4" s="61">
        <v>35</v>
      </c>
      <c r="N4" s="99" t="s">
        <v>53</v>
      </c>
    </row>
    <row r="5" spans="2:14" s="27" customFormat="1" ht="82.5" customHeight="1" thickBot="1" x14ac:dyDescent="0.4">
      <c r="B5" s="102"/>
      <c r="C5" s="100"/>
      <c r="D5" s="102"/>
      <c r="E5" s="33" t="s">
        <v>39</v>
      </c>
      <c r="F5" s="40">
        <v>42697</v>
      </c>
      <c r="G5" s="40">
        <v>43061</v>
      </c>
      <c r="H5" s="41">
        <f>+G5-F5</f>
        <v>364</v>
      </c>
      <c r="I5" s="42">
        <v>3668800</v>
      </c>
      <c r="J5" s="43" t="s">
        <v>33</v>
      </c>
      <c r="K5" s="77">
        <f t="shared" si="1"/>
        <v>594345.6</v>
      </c>
      <c r="L5" s="78">
        <f>0.36*0.45</f>
        <v>0.16200000000000001</v>
      </c>
      <c r="M5" s="43">
        <v>52</v>
      </c>
      <c r="N5" s="100"/>
    </row>
    <row r="6" spans="2:14" s="27" customFormat="1" ht="73" customHeight="1" thickBot="1" x14ac:dyDescent="0.4">
      <c r="B6" s="101">
        <v>2</v>
      </c>
      <c r="C6" s="99" t="s">
        <v>40</v>
      </c>
      <c r="D6" s="101" t="s">
        <v>24</v>
      </c>
      <c r="E6" s="62" t="s">
        <v>41</v>
      </c>
      <c r="F6" s="46">
        <v>43125</v>
      </c>
      <c r="G6" s="46">
        <v>43489</v>
      </c>
      <c r="H6" s="63">
        <f t="shared" ref="H6" si="2">+G6-F6</f>
        <v>364</v>
      </c>
      <c r="I6" s="47">
        <v>1113780</v>
      </c>
      <c r="J6" s="61"/>
      <c r="K6" s="28">
        <f t="shared" ref="K6:K7" si="3">+L6*I6</f>
        <v>165396.33000000002</v>
      </c>
      <c r="L6" s="76">
        <f t="shared" ref="L6:L13" si="4">0.33*0.45</f>
        <v>0.14850000000000002</v>
      </c>
      <c r="M6" s="61">
        <v>53</v>
      </c>
      <c r="N6" s="99" t="s">
        <v>54</v>
      </c>
    </row>
    <row r="7" spans="2:14" s="27" customFormat="1" ht="82.5" customHeight="1" thickBot="1" x14ac:dyDescent="0.4">
      <c r="B7" s="102"/>
      <c r="C7" s="100"/>
      <c r="D7" s="102"/>
      <c r="E7" s="33" t="s">
        <v>42</v>
      </c>
      <c r="F7" s="40">
        <v>43125</v>
      </c>
      <c r="G7" s="40">
        <v>43489</v>
      </c>
      <c r="H7" s="41">
        <f>+G7-F7</f>
        <v>364</v>
      </c>
      <c r="I7" s="42">
        <v>1113780</v>
      </c>
      <c r="J7" s="43" t="s">
        <v>33</v>
      </c>
      <c r="K7" s="77">
        <f t="shared" si="3"/>
        <v>165396.33000000002</v>
      </c>
      <c r="L7" s="78">
        <f t="shared" si="4"/>
        <v>0.14850000000000002</v>
      </c>
      <c r="M7" s="43">
        <v>70</v>
      </c>
      <c r="N7" s="100"/>
    </row>
    <row r="8" spans="2:14" s="27" customFormat="1" ht="73" customHeight="1" thickBot="1" x14ac:dyDescent="0.4">
      <c r="B8" s="101">
        <v>3</v>
      </c>
      <c r="C8" s="99" t="s">
        <v>40</v>
      </c>
      <c r="D8" s="101" t="s">
        <v>24</v>
      </c>
      <c r="E8" s="62" t="s">
        <v>43</v>
      </c>
      <c r="F8" s="46">
        <v>43553</v>
      </c>
      <c r="G8" s="46">
        <v>44283</v>
      </c>
      <c r="H8" s="63">
        <f t="shared" ref="H8" si="5">+G8-F8</f>
        <v>730</v>
      </c>
      <c r="I8" s="47">
        <f>1113780*2</f>
        <v>2227560</v>
      </c>
      <c r="J8" s="61"/>
      <c r="K8" s="28">
        <f t="shared" ref="K8:K9" si="6">+L8*I8</f>
        <v>330792.66000000003</v>
      </c>
      <c r="L8" s="76">
        <f t="shared" si="4"/>
        <v>0.14850000000000002</v>
      </c>
      <c r="M8" s="61">
        <v>71</v>
      </c>
      <c r="N8" s="99" t="s">
        <v>55</v>
      </c>
    </row>
    <row r="9" spans="2:14" s="27" customFormat="1" ht="82.5" customHeight="1" thickBot="1" x14ac:dyDescent="0.4">
      <c r="B9" s="102"/>
      <c r="C9" s="100"/>
      <c r="D9" s="102"/>
      <c r="E9" s="33" t="s">
        <v>44</v>
      </c>
      <c r="F9" s="40">
        <v>43553</v>
      </c>
      <c r="G9" s="40">
        <v>44283</v>
      </c>
      <c r="H9" s="41">
        <f>+G9-F9</f>
        <v>730</v>
      </c>
      <c r="I9" s="42">
        <v>2220924.62</v>
      </c>
      <c r="J9" s="43" t="s">
        <v>33</v>
      </c>
      <c r="K9" s="77">
        <f t="shared" si="6"/>
        <v>329807.30607000005</v>
      </c>
      <c r="L9" s="78">
        <f t="shared" si="4"/>
        <v>0.14850000000000002</v>
      </c>
      <c r="M9" s="43">
        <v>98</v>
      </c>
      <c r="N9" s="100"/>
    </row>
    <row r="10" spans="2:14" s="27" customFormat="1" ht="73" customHeight="1" thickBot="1" x14ac:dyDescent="0.4">
      <c r="B10" s="101">
        <v>4</v>
      </c>
      <c r="C10" s="99" t="s">
        <v>40</v>
      </c>
      <c r="D10" s="101" t="s">
        <v>24</v>
      </c>
      <c r="E10" s="62" t="s">
        <v>45</v>
      </c>
      <c r="F10" s="46">
        <v>44284</v>
      </c>
      <c r="G10" s="46">
        <v>44648</v>
      </c>
      <c r="H10" s="63">
        <f t="shared" ref="H10" si="7">+G10-F10</f>
        <v>364</v>
      </c>
      <c r="I10" s="47">
        <v>1113780</v>
      </c>
      <c r="J10" s="61"/>
      <c r="K10" s="28">
        <f t="shared" ref="K10:K11" si="8">+L10*I10</f>
        <v>165396.33000000002</v>
      </c>
      <c r="L10" s="76">
        <f t="shared" si="4"/>
        <v>0.14850000000000002</v>
      </c>
      <c r="M10" s="61">
        <v>99</v>
      </c>
      <c r="N10" s="99" t="s">
        <v>56</v>
      </c>
    </row>
    <row r="11" spans="2:14" s="27" customFormat="1" ht="82.5" customHeight="1" thickBot="1" x14ac:dyDescent="0.4">
      <c r="B11" s="102"/>
      <c r="C11" s="100"/>
      <c r="D11" s="102"/>
      <c r="E11" s="33" t="s">
        <v>46</v>
      </c>
      <c r="F11" s="40">
        <v>44284</v>
      </c>
      <c r="G11" s="40">
        <v>44648</v>
      </c>
      <c r="H11" s="41">
        <f>+G11-F11</f>
        <v>364</v>
      </c>
      <c r="I11" s="42">
        <v>1113780</v>
      </c>
      <c r="J11" s="43" t="s">
        <v>33</v>
      </c>
      <c r="K11" s="77">
        <f t="shared" si="8"/>
        <v>165396.33000000002</v>
      </c>
      <c r="L11" s="78">
        <f t="shared" si="4"/>
        <v>0.14850000000000002</v>
      </c>
      <c r="M11" s="43">
        <v>121</v>
      </c>
      <c r="N11" s="100"/>
    </row>
    <row r="12" spans="2:14" s="27" customFormat="1" ht="73" customHeight="1" thickBot="1" x14ac:dyDescent="0.4">
      <c r="B12" s="101">
        <v>5</v>
      </c>
      <c r="C12" s="99" t="s">
        <v>40</v>
      </c>
      <c r="D12" s="101" t="s">
        <v>24</v>
      </c>
      <c r="E12" s="62" t="s">
        <v>47</v>
      </c>
      <c r="F12" s="46">
        <v>44676</v>
      </c>
      <c r="G12" s="46">
        <v>45040</v>
      </c>
      <c r="H12" s="63">
        <f t="shared" ref="H12" si="9">+G12-F12</f>
        <v>364</v>
      </c>
      <c r="I12" s="47">
        <v>1113780</v>
      </c>
      <c r="J12" s="61"/>
      <c r="K12" s="28">
        <f t="shared" ref="K12:K13" si="10">+L12*I12</f>
        <v>165396.33000000002</v>
      </c>
      <c r="L12" s="76">
        <f t="shared" si="4"/>
        <v>0.14850000000000002</v>
      </c>
      <c r="M12" s="61">
        <v>122</v>
      </c>
      <c r="N12" s="99" t="s">
        <v>57</v>
      </c>
    </row>
    <row r="13" spans="2:14" s="27" customFormat="1" ht="82.5" customHeight="1" thickBot="1" x14ac:dyDescent="0.4">
      <c r="B13" s="102"/>
      <c r="C13" s="100"/>
      <c r="D13" s="102"/>
      <c r="E13" s="33" t="s">
        <v>48</v>
      </c>
      <c r="F13" s="40">
        <v>44676</v>
      </c>
      <c r="G13" s="40">
        <v>45040</v>
      </c>
      <c r="H13" s="41">
        <f>+G13-F13</f>
        <v>364</v>
      </c>
      <c r="I13" s="42">
        <v>1113780</v>
      </c>
      <c r="J13" s="43" t="s">
        <v>33</v>
      </c>
      <c r="K13" s="77">
        <f t="shared" si="10"/>
        <v>165396.33000000002</v>
      </c>
      <c r="L13" s="78">
        <f t="shared" si="4"/>
        <v>0.14850000000000002</v>
      </c>
      <c r="M13" s="43">
        <v>147</v>
      </c>
      <c r="N13" s="100"/>
    </row>
    <row r="14" spans="2:14" s="27" customFormat="1" ht="82.5" customHeight="1" thickBot="1" x14ac:dyDescent="0.4">
      <c r="B14" s="101">
        <v>6</v>
      </c>
      <c r="C14" s="99" t="s">
        <v>59</v>
      </c>
      <c r="D14" s="101" t="s">
        <v>24</v>
      </c>
      <c r="E14" s="62" t="s">
        <v>58</v>
      </c>
      <c r="F14" s="46">
        <v>43313</v>
      </c>
      <c r="G14" s="46">
        <v>44408</v>
      </c>
      <c r="H14" s="63">
        <f t="shared" ref="H14" si="11">+G14-F14</f>
        <v>1095</v>
      </c>
      <c r="I14" s="47">
        <f>3265731.7*3</f>
        <v>9797195.1000000015</v>
      </c>
      <c r="J14" s="61"/>
      <c r="K14" s="28">
        <f t="shared" ref="K14:K15" si="12">+L14*I14</f>
        <v>3218378.5903500007</v>
      </c>
      <c r="L14" s="76">
        <f>0.73*0.45</f>
        <v>0.32850000000000001</v>
      </c>
      <c r="M14" s="61">
        <v>148</v>
      </c>
      <c r="N14" s="99" t="s">
        <v>60</v>
      </c>
    </row>
    <row r="15" spans="2:14" s="27" customFormat="1" ht="82.5" customHeight="1" thickBot="1" x14ac:dyDescent="0.4">
      <c r="B15" s="102"/>
      <c r="C15" s="100"/>
      <c r="D15" s="102"/>
      <c r="E15" s="33" t="s">
        <v>61</v>
      </c>
      <c r="F15" s="40">
        <v>43313</v>
      </c>
      <c r="G15" s="40">
        <v>44408</v>
      </c>
      <c r="H15" s="41">
        <f>+G15-F15</f>
        <v>1095</v>
      </c>
      <c r="I15" s="42">
        <v>8599624.0299999993</v>
      </c>
      <c r="J15" s="43" t="s">
        <v>33</v>
      </c>
      <c r="K15" s="77">
        <f t="shared" si="12"/>
        <v>2824976.493855</v>
      </c>
      <c r="L15" s="78">
        <f>0.73*0.45</f>
        <v>0.32850000000000001</v>
      </c>
      <c r="M15" s="43">
        <v>186</v>
      </c>
      <c r="N15" s="100"/>
    </row>
    <row r="16" spans="2:14" s="27" customFormat="1" ht="82.5" customHeight="1" thickBot="1" x14ac:dyDescent="0.4">
      <c r="B16" s="101">
        <v>7</v>
      </c>
      <c r="C16" s="99" t="s">
        <v>59</v>
      </c>
      <c r="D16" s="101" t="s">
        <v>24</v>
      </c>
      <c r="E16" s="62" t="s">
        <v>62</v>
      </c>
      <c r="F16" s="46">
        <v>44409</v>
      </c>
      <c r="G16" s="46">
        <v>44773</v>
      </c>
      <c r="H16" s="63">
        <f t="shared" ref="H16" si="13">+G16-F16</f>
        <v>364</v>
      </c>
      <c r="I16" s="47">
        <v>3265731.07</v>
      </c>
      <c r="J16" s="61"/>
      <c r="K16" s="28">
        <f t="shared" ref="K16:K17" si="14">+L16*I16</f>
        <v>1072792.656495</v>
      </c>
      <c r="L16" s="76">
        <f>0.73*0.45</f>
        <v>0.32850000000000001</v>
      </c>
      <c r="M16" s="61">
        <v>187</v>
      </c>
      <c r="N16" s="99" t="s">
        <v>63</v>
      </c>
    </row>
    <row r="17" spans="2:14" s="44" customFormat="1" ht="82.5" customHeight="1" thickBot="1" x14ac:dyDescent="0.4">
      <c r="B17" s="102"/>
      <c r="C17" s="100"/>
      <c r="D17" s="102"/>
      <c r="E17" s="33" t="s">
        <v>64</v>
      </c>
      <c r="F17" s="40">
        <v>43313</v>
      </c>
      <c r="G17" s="40">
        <v>44408</v>
      </c>
      <c r="H17" s="41">
        <f>+G17-F17</f>
        <v>1095</v>
      </c>
      <c r="I17" s="42">
        <v>3139101.13</v>
      </c>
      <c r="J17" s="43" t="s">
        <v>33</v>
      </c>
      <c r="K17" s="77">
        <f t="shared" si="14"/>
        <v>1031194.721205</v>
      </c>
      <c r="L17" s="78">
        <f>0.73*0.45</f>
        <v>0.32850000000000001</v>
      </c>
      <c r="M17" s="43">
        <v>204</v>
      </c>
      <c r="N17" s="100"/>
    </row>
    <row r="18" spans="2:14" ht="18.5" x14ac:dyDescent="0.35">
      <c r="B18" s="6"/>
      <c r="C18" s="6"/>
      <c r="D18" s="55"/>
      <c r="E18" s="34"/>
      <c r="F18" s="13"/>
      <c r="G18" s="13"/>
      <c r="H18" s="11"/>
      <c r="I18" s="13"/>
      <c r="J18" s="13"/>
      <c r="K18" s="31"/>
      <c r="L18" s="31"/>
      <c r="M18" s="13"/>
      <c r="N18" s="13"/>
    </row>
    <row r="19" spans="2:14" ht="19" thickBot="1" x14ac:dyDescent="0.5">
      <c r="C19" s="103" t="s">
        <v>19</v>
      </c>
      <c r="D19" s="103"/>
      <c r="E19" s="103"/>
      <c r="F19" s="14"/>
      <c r="G19" s="49">
        <v>44740</v>
      </c>
      <c r="H19" s="48">
        <f>8*365</f>
        <v>2920</v>
      </c>
      <c r="I19" s="49">
        <f>+G19-H19</f>
        <v>41820</v>
      </c>
      <c r="J19" s="14"/>
      <c r="K19" s="74"/>
      <c r="L19" s="14"/>
    </row>
    <row r="20" spans="2:14" ht="15" thickBot="1" x14ac:dyDescent="0.4">
      <c r="C20" s="17" t="s">
        <v>27</v>
      </c>
      <c r="D20" s="56">
        <v>1465293.54</v>
      </c>
      <c r="E20" s="64"/>
      <c r="F20" s="65"/>
      <c r="G20" s="66"/>
      <c r="H20" s="67"/>
    </row>
    <row r="21" spans="2:14" ht="15" thickBot="1" x14ac:dyDescent="0.4">
      <c r="C21" s="18" t="s">
        <v>13</v>
      </c>
      <c r="D21" s="57"/>
      <c r="E21" s="104" t="s">
        <v>52</v>
      </c>
      <c r="F21" s="105"/>
      <c r="G21" s="105"/>
      <c r="H21" s="106"/>
      <c r="I21" s="14"/>
      <c r="J21" s="14"/>
      <c r="K21" s="74"/>
      <c r="L21" s="74"/>
      <c r="M21" s="14"/>
      <c r="N21" s="14"/>
    </row>
    <row r="22" spans="2:14" x14ac:dyDescent="0.35">
      <c r="C22" t="s">
        <v>28</v>
      </c>
      <c r="D22" s="58">
        <f>+K5+K7+K9+K11+K13+K15+K17</f>
        <v>5276513.1111300001</v>
      </c>
    </row>
    <row r="23" spans="2:14" x14ac:dyDescent="0.35">
      <c r="C23" t="s">
        <v>14</v>
      </c>
      <c r="D23" s="59">
        <f>+D22/D20</f>
        <v>3.6009939081079958</v>
      </c>
      <c r="E23" s="60"/>
      <c r="F23" s="14"/>
      <c r="H23" s="14"/>
      <c r="K23" s="82"/>
      <c r="L23" s="14"/>
      <c r="M23" s="14"/>
      <c r="N23" s="82"/>
    </row>
    <row r="24" spans="2:14" x14ac:dyDescent="0.35">
      <c r="K24" s="82"/>
      <c r="L24" s="82"/>
      <c r="M24" s="82"/>
      <c r="N24" s="82"/>
    </row>
    <row r="25" spans="2:14" x14ac:dyDescent="0.35">
      <c r="E25" s="36" t="s">
        <v>20</v>
      </c>
      <c r="F25" s="19"/>
      <c r="G25" s="20">
        <v>100</v>
      </c>
      <c r="K25" s="82"/>
      <c r="L25" s="82"/>
      <c r="M25" s="82"/>
      <c r="N25" s="82"/>
    </row>
    <row r="26" spans="2:14" x14ac:dyDescent="0.35">
      <c r="E26" s="37"/>
      <c r="F26"/>
      <c r="G26"/>
      <c r="K26" s="82"/>
      <c r="L26" s="82"/>
      <c r="M26" s="82"/>
      <c r="N26" s="82"/>
    </row>
    <row r="27" spans="2:14" x14ac:dyDescent="0.35">
      <c r="E27" s="38" t="s">
        <v>21</v>
      </c>
      <c r="F27" s="21"/>
      <c r="G27" s="50">
        <v>1465293.54</v>
      </c>
      <c r="K27" s="82"/>
      <c r="L27" s="82"/>
      <c r="M27" s="82"/>
      <c r="N27" s="82"/>
    </row>
    <row r="28" spans="2:14" x14ac:dyDescent="0.35">
      <c r="E28" s="37"/>
      <c r="F28"/>
      <c r="G28"/>
      <c r="K28" s="82"/>
      <c r="L28" s="82"/>
      <c r="M28" s="82"/>
      <c r="N28" s="82"/>
    </row>
    <row r="29" spans="2:14" x14ac:dyDescent="0.35">
      <c r="E29" s="38" t="s">
        <v>22</v>
      </c>
      <c r="F29" s="22">
        <f>+COINCE!F22</f>
        <v>1392000</v>
      </c>
      <c r="G29" s="51"/>
      <c r="K29" s="82"/>
      <c r="L29" s="82"/>
      <c r="M29" s="82"/>
      <c r="N29" s="82"/>
    </row>
    <row r="30" spans="2:14" x14ac:dyDescent="0.35">
      <c r="E30" s="37"/>
      <c r="F30"/>
      <c r="G30"/>
    </row>
    <row r="31" spans="2:14" x14ac:dyDescent="0.35">
      <c r="E31" s="36" t="s">
        <v>35</v>
      </c>
      <c r="F31" s="19"/>
      <c r="G31" s="20">
        <f>+F29/G27*100</f>
        <v>94.998030224032789</v>
      </c>
    </row>
    <row r="32" spans="2:14" ht="15" thickBot="1" x14ac:dyDescent="0.4">
      <c r="E32" s="37"/>
      <c r="F32"/>
      <c r="G32"/>
    </row>
    <row r="33" spans="5:14" ht="19" thickBot="1" x14ac:dyDescent="0.5">
      <c r="E33" s="39" t="s">
        <v>23</v>
      </c>
      <c r="F33" s="72">
        <f>+G25*0.8+G31*0.2</f>
        <v>98.999606044806555</v>
      </c>
      <c r="G33" s="23"/>
    </row>
    <row r="35" spans="5:14" x14ac:dyDescent="0.35">
      <c r="E35" s="37"/>
      <c r="F35"/>
      <c r="G35"/>
      <c r="H35"/>
      <c r="I35"/>
      <c r="J35"/>
      <c r="K35"/>
      <c r="L35"/>
      <c r="M35"/>
      <c r="N35"/>
    </row>
    <row r="36" spans="5:14" x14ac:dyDescent="0.35">
      <c r="E36" s="37"/>
      <c r="F36"/>
      <c r="G36"/>
      <c r="H36"/>
      <c r="I36"/>
      <c r="J36"/>
      <c r="K36"/>
      <c r="L36"/>
      <c r="M36"/>
      <c r="N36"/>
    </row>
    <row r="37" spans="5:14" x14ac:dyDescent="0.35">
      <c r="E37" s="37"/>
      <c r="F37"/>
      <c r="G37"/>
      <c r="H37"/>
      <c r="I37"/>
      <c r="J37"/>
      <c r="K37"/>
      <c r="L37"/>
      <c r="M37"/>
      <c r="N37"/>
    </row>
    <row r="38" spans="5:14" x14ac:dyDescent="0.35">
      <c r="E38" s="37"/>
      <c r="F38"/>
      <c r="G38"/>
      <c r="H38"/>
      <c r="I38"/>
      <c r="J38"/>
      <c r="K38"/>
      <c r="L38"/>
      <c r="M38"/>
      <c r="N38"/>
    </row>
    <row r="39" spans="5:14" x14ac:dyDescent="0.35">
      <c r="E39" s="37"/>
      <c r="F39"/>
      <c r="G39"/>
      <c r="H39"/>
      <c r="I39"/>
      <c r="J39"/>
      <c r="K39"/>
      <c r="L39"/>
      <c r="M39"/>
      <c r="N39"/>
    </row>
  </sheetData>
  <mergeCells count="31">
    <mergeCell ref="N14:N15"/>
    <mergeCell ref="B16:B17"/>
    <mergeCell ref="C16:C17"/>
    <mergeCell ref="D16:D17"/>
    <mergeCell ref="N16:N17"/>
    <mergeCell ref="N8:N9"/>
    <mergeCell ref="N10:N11"/>
    <mergeCell ref="B12:B13"/>
    <mergeCell ref="C12:C13"/>
    <mergeCell ref="D12:D13"/>
    <mergeCell ref="N12:N13"/>
    <mergeCell ref="E2:M2"/>
    <mergeCell ref="N4:N5"/>
    <mergeCell ref="B6:B7"/>
    <mergeCell ref="C6:C7"/>
    <mergeCell ref="D6:D7"/>
    <mergeCell ref="B4:B5"/>
    <mergeCell ref="N6:N7"/>
    <mergeCell ref="C19:E19"/>
    <mergeCell ref="E21:H21"/>
    <mergeCell ref="C4:C5"/>
    <mergeCell ref="D4:D5"/>
    <mergeCell ref="B10:B11"/>
    <mergeCell ref="C10:C11"/>
    <mergeCell ref="D10:D11"/>
    <mergeCell ref="B8:B9"/>
    <mergeCell ref="C8:C9"/>
    <mergeCell ref="D8:D9"/>
    <mergeCell ref="B14:B15"/>
    <mergeCell ref="C14:C15"/>
    <mergeCell ref="D14:D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H4ZUARPRAJFR-49-8474</_dlc_DocId>
    <_dlc_DocIdUrl xmlns="c9af1732-5c4a-47a8-8a40-65a3d58cbfeb">
      <Url>http://portal/seccion/centro_documental/_layouts/15/DocIdRedir.aspx?ID=H4ZUARPRAJFR-49-8474</Url>
      <Description>H4ZUARPRAJFR-49-8474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C2AB38-394D-42A2-B91D-A28FF837F345}"/>
</file>

<file path=customXml/itemProps2.xml><?xml version="1.0" encoding="utf-8"?>
<ds:datastoreItem xmlns:ds="http://schemas.openxmlformats.org/officeDocument/2006/customXml" ds:itemID="{006C0C6C-A106-4A5B-BCF4-9A5D1AF4BB8E}"/>
</file>

<file path=customXml/itemProps3.xml><?xml version="1.0" encoding="utf-8"?>
<ds:datastoreItem xmlns:ds="http://schemas.openxmlformats.org/officeDocument/2006/customXml" ds:itemID="{71064F76-6921-41D0-AF8F-8C958124FBF4}"/>
</file>

<file path=customXml/itemProps4.xml><?xml version="1.0" encoding="utf-8"?>
<ds:datastoreItem xmlns:ds="http://schemas.openxmlformats.org/officeDocument/2006/customXml" ds:itemID="{663E369C-2726-4D6F-97B9-7225EAE0C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COINCE</vt:lpstr>
      <vt:lpstr>INSPECCION - M&amp;M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Alejandro Martin Pastor Podesta</cp:lastModifiedBy>
  <dcterms:created xsi:type="dcterms:W3CDTF">2019-11-14T14:16:27Z</dcterms:created>
  <dcterms:modified xsi:type="dcterms:W3CDTF">2023-08-28T13:55:59Z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794ac77b-9d21-423b-8782-39d3282b4889</vt:lpwstr>
  </property>
</Properties>
</file>