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SHL\2023\5. Programa Anual de Supervisión\7. PSES 23-2023-Osinergmin-DSHL\Tercera Convocatoria\6. Evaluación\"/>
    </mc:Choice>
  </mc:AlternateContent>
  <bookViews>
    <workbookView xWindow="0" yWindow="0" windowWidth="19200" windowHeight="6180" activeTab="1"/>
  </bookViews>
  <sheets>
    <sheet name="Resumen" sheetId="1" r:id="rId1"/>
    <sheet name="CONSORCIO FIMS" sheetId="2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22" l="1"/>
  <c r="I12" i="22"/>
  <c r="I15" i="22" l="1"/>
  <c r="I14" i="22"/>
  <c r="I7" i="22"/>
  <c r="I6" i="22"/>
  <c r="G12" i="1" l="1"/>
  <c r="F27" i="22" l="1"/>
  <c r="L5" i="22"/>
  <c r="L15" i="22"/>
  <c r="H15" i="22"/>
  <c r="L14" i="22"/>
  <c r="L13" i="22"/>
  <c r="H13" i="22"/>
  <c r="L12" i="22"/>
  <c r="K11" i="22"/>
  <c r="H11" i="22"/>
  <c r="K13" i="22" l="1"/>
  <c r="K15" i="22"/>
  <c r="L9" i="22"/>
  <c r="K9" i="22" s="1"/>
  <c r="H9" i="22"/>
  <c r="L8" i="22"/>
  <c r="L7" i="22"/>
  <c r="K7" i="22"/>
  <c r="D20" i="22" s="1"/>
  <c r="H7" i="22"/>
  <c r="L6" i="22"/>
  <c r="K5" i="22"/>
  <c r="L4" i="22"/>
  <c r="K4" i="22" s="1"/>
  <c r="L18" i="22" l="1"/>
  <c r="M18" i="22" s="1"/>
  <c r="K12" i="22" l="1"/>
  <c r="K10" i="22"/>
  <c r="H14" i="22"/>
  <c r="H12" i="22"/>
  <c r="H10" i="22"/>
  <c r="H8" i="22"/>
  <c r="K8" i="22" l="1"/>
  <c r="K14" i="22"/>
  <c r="D21" i="22"/>
  <c r="K6" i="22"/>
  <c r="H6" i="22"/>
  <c r="H5" i="22"/>
  <c r="H4" i="22"/>
  <c r="G17" i="22"/>
  <c r="H17" i="22" s="1"/>
  <c r="F31" i="22"/>
  <c r="I17" i="22" l="1"/>
</calcChain>
</file>

<file path=xl/sharedStrings.xml><?xml version="1.0" encoding="utf-8"?>
<sst xmlns="http://schemas.openxmlformats.org/spreadsheetml/2006/main" count="80" uniqueCount="74">
  <si>
    <t>Factor de Evaluación</t>
  </si>
  <si>
    <t>Criterio de Evaluación para Supervisión</t>
  </si>
  <si>
    <t>Rango de Evaluación</t>
  </si>
  <si>
    <t>N°</t>
  </si>
  <si>
    <t>Objeto del Contrato</t>
  </si>
  <si>
    <t>Cliente</t>
  </si>
  <si>
    <t xml:space="preserve">Documento </t>
  </si>
  <si>
    <t xml:space="preserve">Inicio </t>
  </si>
  <si>
    <t xml:space="preserve">Fin </t>
  </si>
  <si>
    <t>Tiempo</t>
  </si>
  <si>
    <t>Folio</t>
  </si>
  <si>
    <t>Monto Valido</t>
  </si>
  <si>
    <t>Penalidad</t>
  </si>
  <si>
    <t>Fecha de Validez de los Contratos:</t>
  </si>
  <si>
    <t>Número de Veces el Valor Referencial</t>
  </si>
  <si>
    <t>Puntaje Factor de Evaluación</t>
  </si>
  <si>
    <t>Asignado</t>
  </si>
  <si>
    <t>Observación</t>
  </si>
  <si>
    <t>CRITERIOS DE EVALUACIÓN TÉCNICA DE LA EST</t>
  </si>
  <si>
    <t>Propuesta Técnica</t>
  </si>
  <si>
    <t>Propuesta Económica</t>
  </si>
  <si>
    <t>Prop. Económica más baja</t>
  </si>
  <si>
    <t>RESULTADO FINAL</t>
  </si>
  <si>
    <t>Experiencia del Postor</t>
  </si>
  <si>
    <t>FACTORES TECNICOS</t>
  </si>
  <si>
    <t>Valor Referencial:</t>
  </si>
  <si>
    <t>Valor Experiencia del Postor</t>
  </si>
  <si>
    <t>Factor</t>
  </si>
  <si>
    <t>Propuesta Ecónomica</t>
  </si>
  <si>
    <t>PUNTAJE TOTAL TECNICO</t>
  </si>
  <si>
    <t xml:space="preserve">EXPERIENCIA DEL POSTOR
Evaluación:
Se evaluará en función al monto facturado acumulado por el postor de hasta tres veces el valor referencial de la contratación para el presente ítem, por la contratación de servicios de fiscalización iguales o similares al objeto de la convocatoria, durante un periodo de ocho (8)(a) años a la fecha de la presentación de propuestas.
Se evalúa la experiencia en actividades de interventoría y/o fiscalización y/o evaluación de la conformidad del Cumplimiento Normativo y/o certificación y/o ejecución, del: diseño, y/o construcción, y/o pre comisionamiento, y/o comisionamiento, y/o puesta en marcha de unidades de proceso, en: refinerías de petróleo y/o plantas de procesamiento de hidrocarburos y/o plantas petroquímicas y/o remodelaciones y/o ampliaciones de dichos tipos de instalaciones. Se debe considerar que estas remodelaciones y/o ampliaciones incluyan unidades de procesos nuevas o pre-existentes . En caso de ser un Consorcio, la persona jurídica integrante del consorcio que realice el servicio objeto de la contratación debe cumplir con el requisito indicado.
Acreditación:
Copia simple de contratos u órdenes de servicios, y su respectiva conformidad por la prestación efectuada; o comprobantes de pago(b) cuya cancelación se acredite documental y fehacientemente, con la inscripción clara y veraz de su cancelación en el mismo comprobante o voucher de depósito o reportes de estado de cuenta; correspondientes a un máximo de veinte (20) servicios prestados a uno o más clientes, sin establecer limitaciones por el monto o el tiempo del servicio ejecutado.
En caso los postores presenten varios comprobantes de pago para acreditar una sola contratación, se debe acreditar que corresponden a dicha contratación; de lo contrario, se asumirá que los comprobantes acreditan contrataciones independientes, en cuyo caso solo se considerará, para la evaluación, las veinte (20) primeras contrataciones indicadas en el Anexo Nº 5.5 referido a la Experiencia del Postor.
</t>
  </si>
  <si>
    <t>Monto igual o mayor a 2.5 veces el valor referencial hasta 3 veces el valor referencial.</t>
  </si>
  <si>
    <t>Monto igual o mayor a 2 veces el valor referencial y menor a 2.5 veces el valor referencial.</t>
  </si>
  <si>
    <t>Monto igual o mayor a 1.5 veces el valor referencial y menor a 2 veces el valor referencial.</t>
  </si>
  <si>
    <t>Monto mayor a 1 vez el valor referencial y menor a 1.5 veces el valor referencial.</t>
  </si>
  <si>
    <t>Otros Factores Técnicos</t>
  </si>
  <si>
    <t>• Contar con certificado de Calidad ISO 9001-2015, cuyo alcance incluya por lo menos uno de sus procesos; o alternativamente contar con, por lo menos, un certificado de acreditación como Organismo de Inspección de tipo “A”, según ISO/IEC 17020</t>
  </si>
  <si>
    <t>• Contar o haber contado con un certificado como organismo de inspección de tercera parte tipo A, basado en la Norma Técnica Peruana NTP-ISO-IEC-17020 o su equivalente internacional(f), con alcance en la industria del petróleo y gas, o recipientes a presión, o recipientes atmosféricos, o instalaciones mecánicas (incluyen uniones soldadas).</t>
  </si>
  <si>
    <t>Se acredita con la presentación de una Declaración Jurada de Cumplimiento, elaborada por el postor, acompañada de copia simple del certificado.</t>
  </si>
  <si>
    <t>CONSORCIO FIMS</t>
  </si>
  <si>
    <t>Servicio de Elaboración de Requerimientos del Sitema de Gestión de Ingeniería Procesos de la Nuena Refinería Talara</t>
  </si>
  <si>
    <t>PETROPERU</t>
  </si>
  <si>
    <t>CONTRATO LITERAL N° 4100009798</t>
  </si>
  <si>
    <t>FECHA DE CÓMPUTO DE LOS 8 ÚLTIMOS AÑOS: 07/04/2016</t>
  </si>
  <si>
    <t>ACTA DE CONFORMIDAD DE SERVICIO</t>
  </si>
  <si>
    <t>Porcentaje consorcio propuesta = 20%
Porcentaje Contrato de Locación de Servicios = 50%
T.C. = 3.916</t>
  </si>
  <si>
    <t>NO</t>
  </si>
  <si>
    <t>Servicio en la Implementación del Sistema de la Gestión de la Calidad según la Norma ISO 9001:2015 (Certficable)</t>
  </si>
  <si>
    <t>FERTINITRO</t>
  </si>
  <si>
    <t>CONTRATO DE SERVICIO</t>
  </si>
  <si>
    <t>CARTA</t>
  </si>
  <si>
    <t>Implementación del Sistema de Gestión de Laboratorio de la Nueva Refinería Talara</t>
  </si>
  <si>
    <t>ORDEN DE TRABAJO A TERCEROS N° 4100009441</t>
  </si>
  <si>
    <t>ACTA DE CIERRE Y CONFORMIDAD DE SERVICIO</t>
  </si>
  <si>
    <t xml:space="preserve">Porcentaje consorcio propuesta = 20%
T.C. = 3.925
</t>
  </si>
  <si>
    <t>Servicio de Desarrollo de las Guias Especificas del Modelo de Gestión de la Nueva Refinería Talara</t>
  </si>
  <si>
    <t>ORDEN DE TRABAJO A TERCEROS N° 4200075383</t>
  </si>
  <si>
    <t>Monto Soles o Dolares</t>
  </si>
  <si>
    <t>ORDEN DE TRABAJO A TERCEROS N° 420007848</t>
  </si>
  <si>
    <t>Servicio de Desarrollo de las Herramientas de Evaluación Integral del Modelos de Gestión de la Nueva Refinería Talara</t>
  </si>
  <si>
    <t>CONTRATO 1CA-PQV-PY-028-2015-CAN</t>
  </si>
  <si>
    <t>PEQUIVEN</t>
  </si>
  <si>
    <t>ACTA DE ACEPTACION</t>
  </si>
  <si>
    <t>NO SE CONSIDERA
No adjunta Conformidad</t>
  </si>
  <si>
    <t>CONTRATO</t>
  </si>
  <si>
    <t>SOCOVENCA</t>
  </si>
  <si>
    <t>Construcción y Puesta en Funcionamiento del Sistema de Despacho de Urea a Granel del Complejo Petroquimico Hugo Chavez</t>
  </si>
  <si>
    <t>ACTA DE TERMINACION</t>
  </si>
  <si>
    <t>Ejecución del Aseguramiento y Control de Calidad, Pre - Comisionamiento y Puesta en Marcha del Reactor SR-402 y Equipos Asociados Pertenecientes a la Planta de Acido Fosforico del Complejo Petroquimico Moron</t>
  </si>
  <si>
    <t>Folio 450 - FACEX
Folio 469 - SVINCA</t>
  </si>
  <si>
    <t>Porcentaje consorcio propuesta = 20%
T.C. = 3.270
T.C. Bolivares = 10.00 - 02/12/2016 -BCV</t>
  </si>
  <si>
    <t xml:space="preserve">Porcentaje consorcio propuesta = 70%
T.C. = 3.271
T.C. Bolivares = 10.0 - 02/05/2016 -BCV
</t>
  </si>
  <si>
    <t>Porcentaje consorcio propuesta = 70%
Porcentaje Contrato de Locación de Servicios = 50%
T.C. = 3.415
T.C. Bolivares = 6.3 - 11/11/2015 -BCV
Acta Paralización de Obra 16/02/2016 - Folio 364.
Acta Reinicio de Obra 16/05/2016.</t>
  </si>
  <si>
    <t>9.23 veces el Valor Referencial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</si>
</sst>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S/&quot;\ * #,##0.00_-;\-&quot;S/&quot;\ * #,##0.00_-;_-&quot;S/&quot;\ * &quot;-&quot;??_-;_-@_-"/>
    <numFmt numFmtId="164" formatCode="_-&quot;S/&quot;* #,##0.00_-;\-&quot;S/&quot;* #,##0.00_-;_-&quot;S/&quot;* &quot;-&quot;??_-;_-@_-"/>
    <numFmt numFmtId="165" formatCode="0.0"/>
    <numFmt numFmtId="166" formatCode="0.000"/>
    <numFmt numFmtId="167" formatCode="&quot;S/&quot;\ #,##0.00"/>
    <numFmt numFmtId="168" formatCode="[$$-409]#,##0.00"/>
  </numFmts>
  <fonts count="15" x14ac:knownFonts="1">
    <font>
      <sz val="11"/>
      <color theme="1"/>
      <name val="Calibri"/>
      <family val="2"/>
      <scheme val="minor"/>
    </font>
    <font>
      <b/>
      <sz val="11"/>
      <color rgb="FF000000"/>
      <name val="Calibri"/>
      <family val="2"/>
    </font>
    <font>
      <sz val="11"/>
      <color rgb="FF000000"/>
      <name val="Calibri"/>
      <family val="2"/>
    </font>
    <font>
      <b/>
      <sz val="11"/>
      <color theme="1"/>
      <name val="Calibri"/>
      <family val="2"/>
      <scheme val="minor"/>
    </font>
    <font>
      <sz val="11"/>
      <name val="Calibri"/>
      <family val="2"/>
      <scheme val="minor"/>
    </font>
    <font>
      <b/>
      <sz val="14"/>
      <color theme="1"/>
      <name val="Calibri"/>
      <family val="2"/>
      <scheme val="minor"/>
    </font>
    <font>
      <sz val="12"/>
      <color rgb="FF000000"/>
      <name val="Calibri"/>
      <family val="2"/>
    </font>
    <font>
      <b/>
      <sz val="10"/>
      <color theme="1"/>
      <name val="Calibri"/>
      <family val="2"/>
      <scheme val="minor"/>
    </font>
    <font>
      <b/>
      <sz val="11"/>
      <name val="Calibri"/>
      <family val="2"/>
      <scheme val="minor"/>
    </font>
    <font>
      <sz val="10"/>
      <color theme="1"/>
      <name val="Calibri"/>
      <family val="2"/>
      <scheme val="minor"/>
    </font>
    <font>
      <sz val="12"/>
      <color theme="1"/>
      <name val="Calibri"/>
      <family val="2"/>
      <scheme val="minor"/>
    </font>
    <font>
      <sz val="11"/>
      <color theme="0"/>
      <name val="Calibri"/>
      <family val="2"/>
      <scheme val="minor"/>
    </font>
    <font>
      <b/>
      <sz val="11"/>
      <color rgb="FFFF0000"/>
      <name val="Calibri"/>
      <family val="2"/>
      <scheme val="minor"/>
    </font>
    <font>
      <sz val="11"/>
      <color rgb="FFFF0000"/>
      <name val="Calibri"/>
      <family val="2"/>
      <scheme val="minor"/>
    </font>
    <font>
      <b/>
      <sz val="18"/>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66FFFF"/>
        <bgColor indexed="64"/>
      </patternFill>
    </fill>
    <fill>
      <patternFill patternType="solid">
        <fgColor rgb="FF00B0F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rgb="FF000000"/>
      </top>
      <bottom/>
      <diagonal/>
    </border>
  </borders>
  <cellStyleXfs count="1">
    <xf numFmtId="0" fontId="0" fillId="0" borderId="0"/>
  </cellStyleXfs>
  <cellXfs count="117">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4" fontId="0" fillId="0" borderId="0" xfId="0" applyNumberFormat="1"/>
    <xf numFmtId="0" fontId="3" fillId="0" borderId="1" xfId="0" applyFont="1" applyBorder="1" applyAlignment="1">
      <alignment horizontal="center" vertical="center"/>
    </xf>
    <xf numFmtId="0" fontId="0" fillId="0" borderId="10" xfId="0" applyBorder="1"/>
    <xf numFmtId="165" fontId="5" fillId="0" borderId="10" xfId="0" applyNumberFormat="1" applyFont="1"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14" fontId="0" fillId="0" borderId="0" xfId="0" applyNumberFormat="1" applyAlignment="1">
      <alignment horizontal="center" vertical="center"/>
    </xf>
    <xf numFmtId="0" fontId="0" fillId="0" borderId="12" xfId="0" applyBorder="1" applyAlignment="1">
      <alignment wrapText="1"/>
    </xf>
    <xf numFmtId="0" fontId="1" fillId="0" borderId="4" xfId="0" applyFont="1" applyBorder="1" applyAlignment="1">
      <alignment horizontal="center" vertical="center" wrapText="1"/>
    </xf>
    <xf numFmtId="0" fontId="3" fillId="2" borderId="7" xfId="0" applyFont="1" applyFill="1" applyBorder="1"/>
    <xf numFmtId="0" fontId="0" fillId="0" borderId="0" xfId="0" applyAlignment="1">
      <alignment vertical="top" wrapText="1"/>
    </xf>
    <xf numFmtId="0" fontId="0" fillId="2" borderId="0" xfId="0" applyFill="1"/>
    <xf numFmtId="4" fontId="3" fillId="2" borderId="0" xfId="0" applyNumberFormat="1" applyFont="1" applyFill="1"/>
    <xf numFmtId="164" fontId="3" fillId="4" borderId="0" xfId="0" applyNumberFormat="1" applyFont="1" applyFill="1"/>
    <xf numFmtId="166" fontId="5" fillId="5" borderId="2" xfId="0" applyNumberFormat="1" applyFont="1" applyFill="1" applyBorder="1"/>
    <xf numFmtId="0" fontId="10" fillId="0" borderId="0" xfId="0" applyFont="1"/>
    <xf numFmtId="4" fontId="9" fillId="0" borderId="0" xfId="0" applyNumberFormat="1" applyFont="1"/>
    <xf numFmtId="2" fontId="10" fillId="0" borderId="0" xfId="0" applyNumberFormat="1" applyFont="1"/>
    <xf numFmtId="0" fontId="0" fillId="0" borderId="0" xfId="0" applyFont="1"/>
    <xf numFmtId="44" fontId="0" fillId="0" borderId="1" xfId="0" applyNumberFormat="1" applyFont="1" applyBorder="1" applyAlignment="1">
      <alignment horizontal="center" vertical="center"/>
    </xf>
    <xf numFmtId="44" fontId="3" fillId="0" borderId="1" xfId="0" applyNumberFormat="1" applyFont="1" applyBorder="1" applyAlignment="1">
      <alignment horizontal="center" vertical="center"/>
    </xf>
    <xf numFmtId="44" fontId="0" fillId="0" borderId="0" xfId="0" applyNumberFormat="1" applyAlignment="1">
      <alignment horizontal="center" vertical="center"/>
    </xf>
    <xf numFmtId="44" fontId="5" fillId="0" borderId="10" xfId="0" applyNumberFormat="1" applyFont="1" applyBorder="1" applyAlignment="1">
      <alignment horizontal="center" vertical="center"/>
    </xf>
    <xf numFmtId="0" fontId="8"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2" borderId="0" xfId="0" applyFont="1" applyFill="1" applyAlignment="1">
      <alignment wrapText="1"/>
    </xf>
    <xf numFmtId="0" fontId="4" fillId="0" borderId="0" xfId="0" applyFont="1" applyAlignment="1">
      <alignment wrapText="1"/>
    </xf>
    <xf numFmtId="0" fontId="4" fillId="4" borderId="0" xfId="0" applyFont="1" applyFill="1" applyAlignment="1">
      <alignment wrapText="1"/>
    </xf>
    <xf numFmtId="0" fontId="8" fillId="5" borderId="7" xfId="0" applyFont="1" applyFill="1" applyBorder="1" applyAlignment="1">
      <alignment wrapText="1"/>
    </xf>
    <xf numFmtId="14" fontId="0" fillId="2" borderId="1" xfId="0" applyNumberFormat="1" applyFont="1" applyFill="1" applyBorder="1" applyAlignment="1">
      <alignment horizontal="center" vertical="center"/>
    </xf>
    <xf numFmtId="1" fontId="0" fillId="2" borderId="1"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3" borderId="0" xfId="0" applyFont="1" applyFill="1"/>
    <xf numFmtId="44" fontId="0" fillId="2" borderId="1" xfId="0" applyNumberFormat="1" applyFont="1" applyFill="1" applyBorder="1" applyAlignment="1">
      <alignment horizontal="center" vertical="center"/>
    </xf>
    <xf numFmtId="14" fontId="0" fillId="3" borderId="1" xfId="0" applyNumberFormat="1" applyFont="1" applyFill="1" applyBorder="1" applyAlignment="1">
      <alignment horizontal="center" vertical="center"/>
    </xf>
    <xf numFmtId="14" fontId="11" fillId="0" borderId="0" xfId="0" applyNumberFormat="1" applyFont="1" applyAlignment="1">
      <alignment horizontal="center" vertical="center"/>
    </xf>
    <xf numFmtId="44" fontId="0" fillId="4" borderId="0" xfId="0" applyNumberFormat="1" applyFill="1"/>
    <xf numFmtId="44" fontId="3" fillId="4" borderId="0" xfId="0" applyNumberFormat="1" applyFont="1" applyFill="1"/>
    <xf numFmtId="44" fontId="0" fillId="0" borderId="0" xfId="0" applyNumberFormat="1"/>
    <xf numFmtId="0" fontId="0" fillId="0" borderId="0" xfId="0" applyAlignment="1">
      <alignment wrapText="1"/>
    </xf>
    <xf numFmtId="0" fontId="3" fillId="0" borderId="1" xfId="0" applyFont="1" applyBorder="1" applyAlignment="1">
      <alignment horizontal="center" vertical="center" wrapText="1"/>
    </xf>
    <xf numFmtId="0" fontId="0" fillId="0" borderId="10" xfId="0" applyBorder="1" applyAlignment="1">
      <alignment wrapText="1"/>
    </xf>
    <xf numFmtId="164" fontId="3" fillId="2" borderId="2" xfId="0" applyNumberFormat="1" applyFont="1" applyFill="1" applyBorder="1" applyAlignment="1">
      <alignment wrapText="1"/>
    </xf>
    <xf numFmtId="14" fontId="0" fillId="0" borderId="0" xfId="0" applyNumberFormat="1" applyAlignment="1">
      <alignment wrapText="1"/>
    </xf>
    <xf numFmtId="164" fontId="0" fillId="0" borderId="0" xfId="0" applyNumberFormat="1" applyAlignment="1">
      <alignment wrapText="1"/>
    </xf>
    <xf numFmtId="2" fontId="0" fillId="0" borderId="0" xfId="0" applyNumberFormat="1" applyAlignment="1">
      <alignment wrapText="1"/>
    </xf>
    <xf numFmtId="0" fontId="12" fillId="0" borderId="0" xfId="0" applyFont="1" applyAlignment="1">
      <alignment horizontal="center" vertical="center" wrapText="1"/>
    </xf>
    <xf numFmtId="0" fontId="0" fillId="0" borderId="1" xfId="0" applyFont="1" applyBorder="1" applyAlignment="1">
      <alignment horizontal="center" vertical="center"/>
    </xf>
    <xf numFmtId="0" fontId="4" fillId="0" borderId="11" xfId="0" applyFont="1" applyBorder="1" applyAlignment="1">
      <alignment horizontal="center" vertical="center" wrapText="1"/>
    </xf>
    <xf numFmtId="1" fontId="0" fillId="0" borderId="1" xfId="0" applyNumberFormat="1" applyFont="1" applyBorder="1" applyAlignment="1">
      <alignment horizontal="center" vertical="center"/>
    </xf>
    <xf numFmtId="0" fontId="13" fillId="3" borderId="0" xfId="0" applyFont="1" applyFill="1" applyAlignment="1">
      <alignment horizontal="center" vertical="center"/>
    </xf>
    <xf numFmtId="44" fontId="0" fillId="3" borderId="1" xfId="0" applyNumberFormat="1" applyFont="1" applyFill="1" applyBorder="1" applyAlignment="1">
      <alignment horizontal="center" vertical="center"/>
    </xf>
    <xf numFmtId="2" fontId="3" fillId="5" borderId="8" xfId="0" applyNumberFormat="1" applyFont="1" applyFill="1" applyBorder="1"/>
    <xf numFmtId="2" fontId="0" fillId="0" borderId="0" xfId="0" applyNumberFormat="1" applyAlignment="1">
      <alignment horizontal="center" vertical="center"/>
    </xf>
    <xf numFmtId="44" fontId="3" fillId="0" borderId="9" xfId="0" applyNumberFormat="1" applyFont="1" applyBorder="1" applyAlignment="1">
      <alignment horizontal="center" vertical="center"/>
    </xf>
    <xf numFmtId="2" fontId="0" fillId="0" borderId="1" xfId="0" applyNumberFormat="1" applyFont="1" applyBorder="1" applyAlignment="1">
      <alignment horizontal="center" vertical="center"/>
    </xf>
    <xf numFmtId="2" fontId="0" fillId="2" borderId="1" xfId="0" applyNumberFormat="1" applyFont="1" applyFill="1" applyBorder="1" applyAlignment="1">
      <alignment horizontal="center" vertical="center"/>
    </xf>
    <xf numFmtId="0" fontId="3" fillId="0" borderId="9" xfId="0" applyFont="1" applyBorder="1" applyAlignment="1">
      <alignment horizontal="center" vertical="center"/>
    </xf>
    <xf numFmtId="2" fontId="11" fillId="0" borderId="0" xfId="0" applyNumberFormat="1" applyFont="1" applyAlignment="1">
      <alignment horizontal="center" vertical="center"/>
    </xf>
    <xf numFmtId="0" fontId="4" fillId="2" borderId="11" xfId="0" applyFont="1" applyFill="1" applyBorder="1" applyAlignment="1">
      <alignment horizontal="center" vertical="center" wrapText="1"/>
    </xf>
    <xf numFmtId="14" fontId="13" fillId="3" borderId="0" xfId="0" applyNumberFormat="1" applyFont="1" applyFill="1" applyAlignment="1">
      <alignment horizontal="center" vertical="center" wrapText="1"/>
    </xf>
    <xf numFmtId="14" fontId="13" fillId="3" borderId="0" xfId="0" applyNumberFormat="1" applyFont="1" applyFill="1" applyAlignment="1">
      <alignment horizontal="center" vertical="center"/>
    </xf>
    <xf numFmtId="1" fontId="0" fillId="0" borderId="0" xfId="0" applyNumberFormat="1" applyAlignment="1">
      <alignment horizontal="center" vertical="center"/>
    </xf>
    <xf numFmtId="0" fontId="4" fillId="0" borderId="1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Border="1" applyAlignment="1">
      <alignment horizontal="left" vertical="center" wrapText="1"/>
    </xf>
    <xf numFmtId="167" fontId="3" fillId="0" borderId="1" xfId="0" applyNumberFormat="1" applyFont="1" applyBorder="1" applyAlignment="1">
      <alignment horizontal="center" vertical="center"/>
    </xf>
    <xf numFmtId="167" fontId="0" fillId="3" borderId="1" xfId="0" applyNumberFormat="1" applyFont="1" applyFill="1" applyBorder="1" applyAlignment="1">
      <alignment vertical="center"/>
    </xf>
    <xf numFmtId="167" fontId="0" fillId="0" borderId="10" xfId="0" applyNumberFormat="1" applyBorder="1" applyAlignment="1">
      <alignment horizontal="center" vertical="center"/>
    </xf>
    <xf numFmtId="167" fontId="11" fillId="0" borderId="0" xfId="0" applyNumberFormat="1" applyFont="1" applyAlignment="1">
      <alignment horizontal="center" vertical="center"/>
    </xf>
    <xf numFmtId="167" fontId="0" fillId="0" borderId="0" xfId="0" applyNumberFormat="1" applyAlignment="1">
      <alignment horizontal="center" vertical="center"/>
    </xf>
    <xf numFmtId="167" fontId="0" fillId="0" borderId="0" xfId="0" applyNumberFormat="1"/>
    <xf numFmtId="168" fontId="0" fillId="3" borderId="1" xfId="0" applyNumberFormat="1" applyFont="1" applyFill="1" applyBorder="1" applyAlignment="1">
      <alignment vertical="center"/>
    </xf>
    <xf numFmtId="168" fontId="0" fillId="2" borderId="1" xfId="0" applyNumberFormat="1" applyFont="1" applyFill="1" applyBorder="1" applyAlignment="1">
      <alignment vertical="center"/>
    </xf>
    <xf numFmtId="0" fontId="4" fillId="0" borderId="1" xfId="0" applyFont="1" applyBorder="1" applyAlignment="1">
      <alignment vertical="center" wrapText="1"/>
    </xf>
    <xf numFmtId="44" fontId="0" fillId="6" borderId="1" xfId="0" applyNumberFormat="1" applyFont="1" applyFill="1" applyBorder="1" applyAlignment="1">
      <alignment horizontal="center" vertical="center"/>
    </xf>
    <xf numFmtId="0" fontId="13"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xf>
    <xf numFmtId="14" fontId="4" fillId="2" borderId="1" xfId="0" applyNumberFormat="1" applyFont="1" applyFill="1" applyBorder="1" applyAlignment="1">
      <alignment horizontal="center" vertical="center"/>
    </xf>
    <xf numFmtId="0" fontId="5" fillId="0" borderId="1" xfId="0" applyFont="1" applyBorder="1" applyAlignment="1">
      <alignment horizont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left"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9" xfId="0" applyFont="1" applyBorder="1" applyAlignment="1">
      <alignment horizontal="center" vertical="center"/>
    </xf>
    <xf numFmtId="0" fontId="0" fillId="0" borderId="11" xfId="0" applyFont="1" applyBorder="1" applyAlignment="1">
      <alignment horizontal="center" vertical="center"/>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9" xfId="0" applyFont="1" applyBorder="1" applyAlignment="1">
      <alignment horizontal="center" vertical="center" wrapText="1"/>
    </xf>
    <xf numFmtId="0" fontId="0" fillId="0" borderId="11" xfId="0" applyFont="1" applyBorder="1" applyAlignment="1">
      <alignment horizontal="center" vertical="center" wrapText="1"/>
    </xf>
    <xf numFmtId="0" fontId="5" fillId="0" borderId="0" xfId="0" applyFont="1" applyAlignment="1">
      <alignment horizontal="center"/>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2" xfId="0" applyFont="1" applyBorder="1" applyAlignment="1">
      <alignment horizontal="left" vertical="top" wrapText="1"/>
    </xf>
    <xf numFmtId="0" fontId="0" fillId="3" borderId="9"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17"/>
  <sheetViews>
    <sheetView topLeftCell="A10" zoomScale="63" zoomScaleNormal="63" workbookViewId="0">
      <selection activeCell="D10" sqref="D10"/>
    </sheetView>
  </sheetViews>
  <sheetFormatPr baseColWidth="10" defaultRowHeight="14.5" x14ac:dyDescent="0.35"/>
  <cols>
    <col min="3" max="3" width="13.453125" customWidth="1"/>
    <col min="4" max="4" width="71.54296875" customWidth="1"/>
    <col min="5" max="5" width="24.453125" customWidth="1"/>
    <col min="6" max="6" width="22" customWidth="1"/>
    <col min="7" max="7" width="20.453125" customWidth="1"/>
    <col min="8" max="8" width="28.26953125" customWidth="1"/>
  </cols>
  <sheetData>
    <row r="2" spans="3:8" ht="15" customHeight="1" x14ac:dyDescent="0.35"/>
    <row r="3" spans="3:8" ht="164" customHeight="1" thickBot="1" x14ac:dyDescent="0.4">
      <c r="C3" s="4"/>
      <c r="E3" s="4"/>
      <c r="F3" s="11"/>
      <c r="G3" s="95" t="s">
        <v>39</v>
      </c>
      <c r="H3" s="96"/>
    </row>
    <row r="4" spans="3:8" ht="29.5" thickBot="1" x14ac:dyDescent="0.4">
      <c r="C4" s="1" t="s">
        <v>0</v>
      </c>
      <c r="D4" s="2" t="s">
        <v>1</v>
      </c>
      <c r="E4" s="3" t="s">
        <v>2</v>
      </c>
      <c r="F4" s="12" t="s">
        <v>15</v>
      </c>
      <c r="G4" s="12" t="s">
        <v>16</v>
      </c>
      <c r="H4" s="12" t="s">
        <v>17</v>
      </c>
    </row>
    <row r="5" spans="3:8" ht="15" thickBot="1" x14ac:dyDescent="0.4">
      <c r="C5" s="89" t="s">
        <v>24</v>
      </c>
      <c r="D5" s="90"/>
      <c r="E5" s="90"/>
      <c r="F5" s="90"/>
      <c r="H5" s="4"/>
    </row>
    <row r="6" spans="3:8" ht="118.5" customHeight="1" thickBot="1" x14ac:dyDescent="0.4">
      <c r="C6" s="91" t="s">
        <v>23</v>
      </c>
      <c r="D6" s="94" t="s">
        <v>30</v>
      </c>
      <c r="E6" s="70" t="s">
        <v>31</v>
      </c>
      <c r="F6" s="71">
        <v>92</v>
      </c>
      <c r="G6" s="97">
        <v>92</v>
      </c>
      <c r="H6" s="98" t="s">
        <v>73</v>
      </c>
    </row>
    <row r="7" spans="3:8" ht="118.5" customHeight="1" thickBot="1" x14ac:dyDescent="0.4">
      <c r="C7" s="92"/>
      <c r="D7" s="94"/>
      <c r="E7" s="70" t="s">
        <v>32</v>
      </c>
      <c r="F7" s="71">
        <v>86</v>
      </c>
      <c r="G7" s="97"/>
      <c r="H7" s="98"/>
    </row>
    <row r="8" spans="3:8" ht="120.5" customHeight="1" thickBot="1" x14ac:dyDescent="0.4">
      <c r="C8" s="92"/>
      <c r="D8" s="94"/>
      <c r="E8" s="70" t="s">
        <v>33</v>
      </c>
      <c r="F8" s="70">
        <v>80</v>
      </c>
      <c r="G8" s="97"/>
      <c r="H8" s="98"/>
    </row>
    <row r="9" spans="3:8" ht="130.5" customHeight="1" thickBot="1" x14ac:dyDescent="0.4">
      <c r="C9" s="93"/>
      <c r="D9" s="94"/>
      <c r="E9" s="70" t="s">
        <v>34</v>
      </c>
      <c r="F9" s="71">
        <v>74</v>
      </c>
      <c r="G9" s="97"/>
      <c r="H9" s="98"/>
    </row>
    <row r="10" spans="3:8" ht="130.5" customHeight="1" thickBot="1" x14ac:dyDescent="0.4">
      <c r="C10" s="99" t="s">
        <v>35</v>
      </c>
      <c r="D10" s="74" t="s">
        <v>36</v>
      </c>
      <c r="E10" s="70" t="s">
        <v>38</v>
      </c>
      <c r="F10" s="71">
        <v>4</v>
      </c>
      <c r="G10" s="72">
        <v>4</v>
      </c>
      <c r="H10" s="73" t="s">
        <v>69</v>
      </c>
    </row>
    <row r="11" spans="3:8" ht="130.5" customHeight="1" thickBot="1" x14ac:dyDescent="0.4">
      <c r="C11" s="100"/>
      <c r="D11" s="74" t="s">
        <v>37</v>
      </c>
      <c r="E11" s="70" t="s">
        <v>38</v>
      </c>
      <c r="F11" s="71">
        <v>4</v>
      </c>
      <c r="G11" s="72"/>
      <c r="H11" s="73"/>
    </row>
    <row r="12" spans="3:8" ht="19" thickBot="1" x14ac:dyDescent="0.5">
      <c r="C12" s="88" t="s">
        <v>29</v>
      </c>
      <c r="D12" s="88"/>
      <c r="E12" s="88"/>
      <c r="F12" s="88"/>
      <c r="G12" s="88">
        <f>SUM(G6:G11)</f>
        <v>96</v>
      </c>
      <c r="H12" s="88"/>
    </row>
    <row r="16" spans="3:8" ht="15.5" x14ac:dyDescent="0.35">
      <c r="G16" s="20"/>
      <c r="H16" s="19"/>
    </row>
    <row r="17" spans="7:8" ht="15.5" x14ac:dyDescent="0.35">
      <c r="G17" s="20"/>
      <c r="H17" s="21"/>
    </row>
  </sheetData>
  <mergeCells count="9">
    <mergeCell ref="C12:F12"/>
    <mergeCell ref="C5:F5"/>
    <mergeCell ref="C6:C9"/>
    <mergeCell ref="D6:D9"/>
    <mergeCell ref="G3:H3"/>
    <mergeCell ref="G6:G9"/>
    <mergeCell ref="H6:H9"/>
    <mergeCell ref="G12:H12"/>
    <mergeCell ref="C10: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37"/>
  <sheetViews>
    <sheetView tabSelected="1" topLeftCell="A19" zoomScale="78" zoomScaleNormal="78" workbookViewId="0">
      <selection activeCell="I12" sqref="I12"/>
    </sheetView>
  </sheetViews>
  <sheetFormatPr baseColWidth="10" defaultRowHeight="14.5" x14ac:dyDescent="0.35"/>
  <cols>
    <col min="1" max="1" width="4.7265625" customWidth="1"/>
    <col min="2" max="2" width="13.453125" customWidth="1"/>
    <col min="3" max="3" width="36.54296875" customWidth="1"/>
    <col min="4" max="4" width="17.6328125" style="45" customWidth="1"/>
    <col min="5" max="5" width="30.453125" style="30" customWidth="1"/>
    <col min="6" max="6" width="17.54296875" style="8" customWidth="1"/>
    <col min="7" max="7" width="16.36328125" style="8" bestFit="1" customWidth="1"/>
    <col min="8" max="8" width="12.26953125" style="8" customWidth="1"/>
    <col min="9" max="9" width="15" style="79" bestFit="1" customWidth="1"/>
    <col min="10" max="10" width="15" style="8" customWidth="1"/>
    <col min="11" max="11" width="20.54296875" style="25" bestFit="1" customWidth="1"/>
    <col min="12" max="12" width="12.26953125" style="25" customWidth="1"/>
    <col min="13" max="13" width="11.90625" style="8" customWidth="1"/>
    <col min="14" max="14" width="24.54296875" style="8" customWidth="1"/>
    <col min="15" max="15" width="13.36328125" style="44" bestFit="1" customWidth="1"/>
  </cols>
  <sheetData>
    <row r="2" spans="2:17" ht="32.15" customHeight="1" thickBot="1" x14ac:dyDescent="0.4">
      <c r="E2" s="105"/>
      <c r="F2" s="106"/>
      <c r="G2" s="106"/>
      <c r="H2" s="106"/>
      <c r="I2" s="106"/>
      <c r="J2" s="106"/>
      <c r="K2" s="106"/>
      <c r="L2" s="106"/>
      <c r="M2" s="106"/>
      <c r="N2"/>
    </row>
    <row r="3" spans="2:17" ht="15" thickBot="1" x14ac:dyDescent="0.4">
      <c r="B3" s="5" t="s">
        <v>3</v>
      </c>
      <c r="C3" s="5" t="s">
        <v>4</v>
      </c>
      <c r="D3" s="46" t="s">
        <v>5</v>
      </c>
      <c r="E3" s="27" t="s">
        <v>6</v>
      </c>
      <c r="F3" s="5" t="s">
        <v>7</v>
      </c>
      <c r="G3" s="5" t="s">
        <v>8</v>
      </c>
      <c r="H3" s="5" t="s">
        <v>9</v>
      </c>
      <c r="I3" s="75" t="s">
        <v>57</v>
      </c>
      <c r="J3" s="5" t="s">
        <v>12</v>
      </c>
      <c r="K3" s="24" t="s">
        <v>11</v>
      </c>
      <c r="L3" s="60" t="s">
        <v>27</v>
      </c>
      <c r="M3" s="63" t="s">
        <v>10</v>
      </c>
      <c r="N3" s="63" t="s">
        <v>17</v>
      </c>
    </row>
    <row r="4" spans="2:17" s="22" customFormat="1" ht="71" customHeight="1" thickBot="1" x14ac:dyDescent="0.4">
      <c r="B4" s="101">
        <v>1</v>
      </c>
      <c r="C4" s="107" t="s">
        <v>40</v>
      </c>
      <c r="D4" s="101" t="s">
        <v>41</v>
      </c>
      <c r="E4" s="54" t="s">
        <v>42</v>
      </c>
      <c r="F4" s="40">
        <v>44256</v>
      </c>
      <c r="G4" s="40">
        <v>44773</v>
      </c>
      <c r="H4" s="55">
        <f>+G4-F4</f>
        <v>517</v>
      </c>
      <c r="I4" s="81">
        <v>2097450</v>
      </c>
      <c r="J4" s="53"/>
      <c r="K4" s="57">
        <f>+I4*L4</f>
        <v>821361.42</v>
      </c>
      <c r="L4" s="61">
        <f>0.2*0.5*3.916</f>
        <v>0.3916</v>
      </c>
      <c r="M4" s="53">
        <v>226</v>
      </c>
      <c r="N4" s="113" t="s">
        <v>45</v>
      </c>
    </row>
    <row r="5" spans="2:17" s="22" customFormat="1" ht="61.5" customHeight="1" thickBot="1" x14ac:dyDescent="0.4">
      <c r="B5" s="102"/>
      <c r="C5" s="108"/>
      <c r="D5" s="102"/>
      <c r="E5" s="28" t="s">
        <v>44</v>
      </c>
      <c r="F5" s="35">
        <v>44256</v>
      </c>
      <c r="G5" s="35">
        <v>44773</v>
      </c>
      <c r="H5" s="36">
        <f>+G5-F5</f>
        <v>517</v>
      </c>
      <c r="I5" s="82">
        <v>2097450</v>
      </c>
      <c r="J5" s="39" t="s">
        <v>46</v>
      </c>
      <c r="K5" s="84">
        <f>+I5*L5</f>
        <v>821361.42</v>
      </c>
      <c r="L5" s="62">
        <f>0.2*0.5*3.916</f>
        <v>0.3916</v>
      </c>
      <c r="M5" s="37">
        <v>244</v>
      </c>
      <c r="N5" s="114"/>
    </row>
    <row r="6" spans="2:17" s="22" customFormat="1" ht="61.5" customHeight="1" thickBot="1" x14ac:dyDescent="0.4">
      <c r="B6" s="101">
        <v>2</v>
      </c>
      <c r="C6" s="107" t="s">
        <v>47</v>
      </c>
      <c r="D6" s="101" t="s">
        <v>48</v>
      </c>
      <c r="E6" s="54" t="s">
        <v>49</v>
      </c>
      <c r="F6" s="40">
        <v>42705</v>
      </c>
      <c r="G6" s="40">
        <v>43251</v>
      </c>
      <c r="H6" s="55">
        <f>+G6-F6</f>
        <v>546</v>
      </c>
      <c r="I6" s="81">
        <f>139985619.2/10</f>
        <v>13998561.919999998</v>
      </c>
      <c r="J6" s="53"/>
      <c r="K6" s="57">
        <f>+I6*L6</f>
        <v>9155059.4956799988</v>
      </c>
      <c r="L6" s="61">
        <f>0.2*3.27</f>
        <v>0.65400000000000003</v>
      </c>
      <c r="M6" s="53">
        <v>264</v>
      </c>
      <c r="N6" s="113" t="s">
        <v>70</v>
      </c>
    </row>
    <row r="7" spans="2:17" s="22" customFormat="1" ht="61.5" customHeight="1" thickBot="1" x14ac:dyDescent="0.4">
      <c r="B7" s="102"/>
      <c r="C7" s="108"/>
      <c r="D7" s="102"/>
      <c r="E7" s="28" t="s">
        <v>50</v>
      </c>
      <c r="F7" s="35">
        <v>42705</v>
      </c>
      <c r="G7" s="35">
        <v>43251</v>
      </c>
      <c r="H7" s="36">
        <f>+G7-F7</f>
        <v>546</v>
      </c>
      <c r="I7" s="82">
        <f>139985619.2/10</f>
        <v>13998561.919999998</v>
      </c>
      <c r="J7" s="37"/>
      <c r="K7" s="84">
        <f>+I7*L7</f>
        <v>9155059.4956799988</v>
      </c>
      <c r="L7" s="62">
        <f>0.2*3.27</f>
        <v>0.65400000000000003</v>
      </c>
      <c r="M7" s="37">
        <v>274</v>
      </c>
      <c r="N7" s="114"/>
    </row>
    <row r="8" spans="2:17" s="22" customFormat="1" ht="73" customHeight="1" thickBot="1" x14ac:dyDescent="0.4">
      <c r="B8" s="101">
        <v>3</v>
      </c>
      <c r="C8" s="115" t="s">
        <v>51</v>
      </c>
      <c r="D8" s="101" t="s">
        <v>41</v>
      </c>
      <c r="E8" s="54" t="s">
        <v>52</v>
      </c>
      <c r="F8" s="40">
        <v>44011</v>
      </c>
      <c r="G8" s="40">
        <v>44377</v>
      </c>
      <c r="H8" s="55">
        <f t="shared" ref="H8" si="0">+G8-F8</f>
        <v>366</v>
      </c>
      <c r="I8" s="81">
        <v>206500</v>
      </c>
      <c r="J8" s="53"/>
      <c r="K8" s="23">
        <f t="shared" ref="K8:K15" si="1">+L8*I8</f>
        <v>162102.5</v>
      </c>
      <c r="L8" s="61">
        <f>0.2*3.925</f>
        <v>0.78500000000000003</v>
      </c>
      <c r="M8" s="53">
        <v>290</v>
      </c>
      <c r="N8" s="113" t="s">
        <v>54</v>
      </c>
    </row>
    <row r="9" spans="2:17" s="22" customFormat="1" ht="82.5" customHeight="1" thickBot="1" x14ac:dyDescent="0.4">
      <c r="B9" s="102"/>
      <c r="C9" s="116"/>
      <c r="D9" s="102"/>
      <c r="E9" s="28" t="s">
        <v>53</v>
      </c>
      <c r="F9" s="35">
        <v>44011</v>
      </c>
      <c r="G9" s="35">
        <v>44377</v>
      </c>
      <c r="H9" s="36">
        <f t="shared" ref="H9" si="2">+G9-F9</f>
        <v>366</v>
      </c>
      <c r="I9" s="82">
        <v>206500</v>
      </c>
      <c r="J9" s="37"/>
      <c r="K9" s="84">
        <f t="shared" si="1"/>
        <v>162102.5</v>
      </c>
      <c r="L9" s="62">
        <f>0.2*3.925</f>
        <v>0.78500000000000003</v>
      </c>
      <c r="M9" s="37">
        <v>298</v>
      </c>
      <c r="N9" s="114"/>
    </row>
    <row r="10" spans="2:17" s="22" customFormat="1" ht="73" customHeight="1" thickBot="1" x14ac:dyDescent="0.4">
      <c r="B10" s="53">
        <v>4</v>
      </c>
      <c r="C10" s="83" t="s">
        <v>55</v>
      </c>
      <c r="D10" s="53" t="s">
        <v>41</v>
      </c>
      <c r="E10" s="69" t="s">
        <v>56</v>
      </c>
      <c r="F10" s="40"/>
      <c r="G10" s="40"/>
      <c r="H10" s="55">
        <f t="shared" ref="H10" si="3">+G10-F10</f>
        <v>0</v>
      </c>
      <c r="I10" s="76">
        <v>33228</v>
      </c>
      <c r="J10" s="53"/>
      <c r="K10" s="23">
        <f t="shared" si="1"/>
        <v>6645.6</v>
      </c>
      <c r="L10" s="61">
        <v>0.2</v>
      </c>
      <c r="M10" s="53">
        <v>305</v>
      </c>
      <c r="N10" s="85" t="s">
        <v>63</v>
      </c>
    </row>
    <row r="11" spans="2:17" s="22" customFormat="1" ht="82.5" customHeight="1" thickBot="1" x14ac:dyDescent="0.4">
      <c r="B11" s="53">
        <v>5</v>
      </c>
      <c r="C11" s="83" t="s">
        <v>59</v>
      </c>
      <c r="D11" s="53" t="s">
        <v>41</v>
      </c>
      <c r="E11" s="69" t="s">
        <v>58</v>
      </c>
      <c r="F11" s="40"/>
      <c r="G11" s="40"/>
      <c r="H11" s="55">
        <f t="shared" ref="H11" si="4">+G11-F11</f>
        <v>0</v>
      </c>
      <c r="I11" s="76">
        <v>41300</v>
      </c>
      <c r="J11" s="53"/>
      <c r="K11" s="23">
        <f t="shared" si="1"/>
        <v>8260</v>
      </c>
      <c r="L11" s="61">
        <v>0.2</v>
      </c>
      <c r="M11" s="53">
        <v>305</v>
      </c>
      <c r="N11" s="85" t="s">
        <v>63</v>
      </c>
    </row>
    <row r="12" spans="2:17" s="22" customFormat="1" ht="96.5" customHeight="1" thickBot="1" x14ac:dyDescent="0.4">
      <c r="B12" s="101">
        <v>6</v>
      </c>
      <c r="C12" s="115" t="s">
        <v>66</v>
      </c>
      <c r="D12" s="101" t="s">
        <v>61</v>
      </c>
      <c r="E12" s="54" t="s">
        <v>60</v>
      </c>
      <c r="F12" s="40">
        <v>42417</v>
      </c>
      <c r="G12" s="40">
        <v>42689</v>
      </c>
      <c r="H12" s="55">
        <f t="shared" ref="H12" si="5">+G12-F12</f>
        <v>272</v>
      </c>
      <c r="I12" s="81">
        <f>254221158.55/6.3</f>
        <v>40352564.849206351</v>
      </c>
      <c r="J12" s="53"/>
      <c r="K12" s="23">
        <f t="shared" si="1"/>
        <v>48231403.136013888</v>
      </c>
      <c r="L12" s="61">
        <f>0.7*0.5*3.415</f>
        <v>1.1952499999999999</v>
      </c>
      <c r="M12" s="53">
        <v>321</v>
      </c>
      <c r="N12" s="103" t="s">
        <v>72</v>
      </c>
    </row>
    <row r="13" spans="2:17" s="22" customFormat="1" ht="98.5" customHeight="1" thickBot="1" x14ac:dyDescent="0.4">
      <c r="B13" s="102"/>
      <c r="C13" s="116"/>
      <c r="D13" s="102"/>
      <c r="E13" s="65" t="s">
        <v>62</v>
      </c>
      <c r="F13" s="35">
        <v>42417</v>
      </c>
      <c r="G13" s="35">
        <v>42689</v>
      </c>
      <c r="H13" s="36">
        <f t="shared" ref="H13" si="6">+G13-F13</f>
        <v>272</v>
      </c>
      <c r="I13" s="82">
        <f>254221158.55/6.3</f>
        <v>40352564.849206351</v>
      </c>
      <c r="J13" s="37"/>
      <c r="K13" s="84">
        <f t="shared" si="1"/>
        <v>48231403.136013888</v>
      </c>
      <c r="L13" s="62">
        <f>0.7*0.5*3.415</f>
        <v>1.1952499999999999</v>
      </c>
      <c r="M13" s="37">
        <v>355</v>
      </c>
      <c r="N13" s="104"/>
    </row>
    <row r="14" spans="2:17" s="22" customFormat="1" ht="82.5" customHeight="1" thickBot="1" x14ac:dyDescent="0.4">
      <c r="B14" s="101">
        <v>7</v>
      </c>
      <c r="C14" s="107" t="s">
        <v>68</v>
      </c>
      <c r="D14" s="101" t="s">
        <v>65</v>
      </c>
      <c r="E14" s="54" t="s">
        <v>64</v>
      </c>
      <c r="F14" s="86">
        <v>42513</v>
      </c>
      <c r="G14" s="40">
        <v>42882</v>
      </c>
      <c r="H14" s="55">
        <f t="shared" ref="H14" si="7">+G14-F14</f>
        <v>369</v>
      </c>
      <c r="I14" s="81">
        <f>98844204.72/10</f>
        <v>9884420.4719999991</v>
      </c>
      <c r="J14" s="53"/>
      <c r="K14" s="23">
        <f t="shared" si="1"/>
        <v>22632357.554738395</v>
      </c>
      <c r="L14" s="61">
        <f>0.7*3.271</f>
        <v>2.2896999999999998</v>
      </c>
      <c r="M14" s="53">
        <v>380</v>
      </c>
      <c r="N14" s="103" t="s">
        <v>71</v>
      </c>
      <c r="P14" s="38"/>
      <c r="Q14" s="38"/>
    </row>
    <row r="15" spans="2:17" s="22" customFormat="1" ht="82.5" customHeight="1" thickBot="1" x14ac:dyDescent="0.4">
      <c r="B15" s="102"/>
      <c r="C15" s="108"/>
      <c r="D15" s="102"/>
      <c r="E15" s="28" t="s">
        <v>67</v>
      </c>
      <c r="F15" s="87">
        <v>42513</v>
      </c>
      <c r="G15" s="35">
        <v>42882</v>
      </c>
      <c r="H15" s="36">
        <f t="shared" ref="H15" si="8">+G15-F15</f>
        <v>369</v>
      </c>
      <c r="I15" s="82">
        <f>98844204.72/10</f>
        <v>9884420.4719999991</v>
      </c>
      <c r="J15" s="37"/>
      <c r="K15" s="84">
        <f t="shared" si="1"/>
        <v>22632357.554738395</v>
      </c>
      <c r="L15" s="62">
        <f>0.7*3.271</f>
        <v>2.2896999999999998</v>
      </c>
      <c r="M15" s="37">
        <v>435</v>
      </c>
      <c r="N15" s="104"/>
      <c r="P15" s="38"/>
      <c r="Q15" s="38"/>
    </row>
    <row r="16" spans="2:17" ht="18.5" x14ac:dyDescent="0.35">
      <c r="B16" s="6"/>
      <c r="C16" s="6"/>
      <c r="D16" s="47"/>
      <c r="E16" s="29"/>
      <c r="F16" s="9"/>
      <c r="G16" s="9"/>
      <c r="H16" s="7"/>
      <c r="I16" s="77"/>
      <c r="J16" s="9"/>
      <c r="K16" s="26"/>
      <c r="L16" s="26"/>
      <c r="M16" s="9"/>
      <c r="N16" s="9"/>
    </row>
    <row r="17" spans="3:14" ht="19" thickBot="1" x14ac:dyDescent="0.5">
      <c r="C17" s="109" t="s">
        <v>18</v>
      </c>
      <c r="D17" s="109"/>
      <c r="E17" s="109"/>
      <c r="F17" s="41">
        <v>45261</v>
      </c>
      <c r="G17" s="64">
        <f>8*365</f>
        <v>2920</v>
      </c>
      <c r="H17" s="41">
        <f>+F17-G17</f>
        <v>42341</v>
      </c>
      <c r="I17" s="78">
        <f>+G17-H17</f>
        <v>-39421</v>
      </c>
    </row>
    <row r="18" spans="3:14" ht="15" thickBot="1" x14ac:dyDescent="0.4">
      <c r="C18" s="13" t="s">
        <v>25</v>
      </c>
      <c r="D18" s="48">
        <v>8780482.4299999997</v>
      </c>
      <c r="E18" s="66"/>
      <c r="F18" s="56"/>
      <c r="G18" s="67"/>
      <c r="H18" s="56"/>
      <c r="K18" s="10">
        <v>45387</v>
      </c>
      <c r="L18" s="68">
        <f>8*365</f>
        <v>2920</v>
      </c>
      <c r="M18" s="10">
        <f>+K18-L18</f>
        <v>42467</v>
      </c>
    </row>
    <row r="19" spans="3:14" ht="15" thickBot="1" x14ac:dyDescent="0.4">
      <c r="C19" s="14" t="s">
        <v>13</v>
      </c>
      <c r="D19" s="49"/>
      <c r="E19" s="110" t="s">
        <v>43</v>
      </c>
      <c r="F19" s="111"/>
      <c r="G19" s="111"/>
      <c r="H19" s="112"/>
      <c r="J19" s="10"/>
      <c r="K19" s="59"/>
      <c r="L19" s="59"/>
      <c r="M19" s="10"/>
      <c r="N19" s="10"/>
    </row>
    <row r="20" spans="3:14" x14ac:dyDescent="0.35">
      <c r="C20" t="s">
        <v>26</v>
      </c>
      <c r="D20" s="50">
        <f>+K5+K7+K9+K15+K13</f>
        <v>81002284.106432289</v>
      </c>
    </row>
    <row r="21" spans="3:14" x14ac:dyDescent="0.35">
      <c r="C21" t="s">
        <v>14</v>
      </c>
      <c r="D21" s="51">
        <f>+D20/D18</f>
        <v>9.2252657814876233</v>
      </c>
      <c r="E21" s="52"/>
      <c r="F21" s="10"/>
      <c r="H21" s="10"/>
    </row>
    <row r="23" spans="3:14" x14ac:dyDescent="0.35">
      <c r="E23" s="31" t="s">
        <v>19</v>
      </c>
      <c r="F23" s="15"/>
      <c r="G23" s="16">
        <v>96</v>
      </c>
    </row>
    <row r="24" spans="3:14" x14ac:dyDescent="0.35">
      <c r="E24" s="32"/>
      <c r="F24"/>
      <c r="G24"/>
    </row>
    <row r="25" spans="3:14" x14ac:dyDescent="0.35">
      <c r="E25" s="33" t="s">
        <v>20</v>
      </c>
      <c r="F25" s="17">
        <v>8578600</v>
      </c>
      <c r="G25" s="42"/>
    </row>
    <row r="26" spans="3:14" x14ac:dyDescent="0.35">
      <c r="E26" s="32"/>
      <c r="F26"/>
      <c r="G26"/>
    </row>
    <row r="27" spans="3:14" x14ac:dyDescent="0.35">
      <c r="E27" s="33" t="s">
        <v>21</v>
      </c>
      <c r="F27" s="42">
        <f>+F25</f>
        <v>8578600</v>
      </c>
      <c r="G27" s="43"/>
    </row>
    <row r="28" spans="3:14" x14ac:dyDescent="0.35">
      <c r="E28" s="32"/>
      <c r="F28"/>
      <c r="G28"/>
    </row>
    <row r="29" spans="3:14" x14ac:dyDescent="0.35">
      <c r="E29" s="31" t="s">
        <v>28</v>
      </c>
      <c r="F29" s="15"/>
      <c r="G29" s="16">
        <v>100</v>
      </c>
    </row>
    <row r="30" spans="3:14" ht="15" thickBot="1" x14ac:dyDescent="0.4">
      <c r="E30" s="32"/>
      <c r="F30"/>
      <c r="G30"/>
    </row>
    <row r="31" spans="3:14" ht="19" thickBot="1" x14ac:dyDescent="0.5">
      <c r="E31" s="34" t="s">
        <v>22</v>
      </c>
      <c r="F31" s="58">
        <f>+G23*0.8+G29*0.2</f>
        <v>96.800000000000011</v>
      </c>
      <c r="G31" s="18"/>
    </row>
    <row r="33" spans="5:14" x14ac:dyDescent="0.35">
      <c r="E33" s="32"/>
      <c r="F33"/>
      <c r="G33"/>
      <c r="H33"/>
      <c r="I33" s="80"/>
      <c r="J33"/>
      <c r="K33"/>
      <c r="L33"/>
      <c r="M33"/>
      <c r="N33"/>
    </row>
    <row r="34" spans="5:14" x14ac:dyDescent="0.35">
      <c r="E34" s="32"/>
      <c r="F34"/>
      <c r="G34"/>
      <c r="H34"/>
      <c r="I34" s="80"/>
      <c r="J34"/>
      <c r="K34"/>
      <c r="L34"/>
      <c r="M34"/>
      <c r="N34"/>
    </row>
    <row r="35" spans="5:14" x14ac:dyDescent="0.35">
      <c r="E35" s="32"/>
      <c r="F35"/>
      <c r="G35"/>
      <c r="H35"/>
      <c r="I35" s="80"/>
      <c r="J35"/>
      <c r="K35"/>
      <c r="L35"/>
      <c r="M35"/>
      <c r="N35"/>
    </row>
    <row r="36" spans="5:14" x14ac:dyDescent="0.35">
      <c r="E36" s="32"/>
      <c r="F36"/>
      <c r="G36"/>
      <c r="H36"/>
      <c r="I36" s="80"/>
      <c r="J36"/>
      <c r="K36"/>
      <c r="L36"/>
      <c r="M36"/>
      <c r="N36"/>
    </row>
    <row r="37" spans="5:14" x14ac:dyDescent="0.35">
      <c r="E37" s="32"/>
      <c r="F37"/>
      <c r="G37"/>
      <c r="H37"/>
      <c r="I37" s="80"/>
      <c r="J37"/>
      <c r="K37"/>
      <c r="L37"/>
      <c r="M37"/>
      <c r="N37"/>
    </row>
  </sheetData>
  <mergeCells count="23">
    <mergeCell ref="C17:E17"/>
    <mergeCell ref="E19:H19"/>
    <mergeCell ref="N4:N5"/>
    <mergeCell ref="B6:B7"/>
    <mergeCell ref="C6:C7"/>
    <mergeCell ref="D6:D7"/>
    <mergeCell ref="N6:N7"/>
    <mergeCell ref="B8:B9"/>
    <mergeCell ref="C8:C9"/>
    <mergeCell ref="D8:D9"/>
    <mergeCell ref="N8:N9"/>
    <mergeCell ref="B12:B13"/>
    <mergeCell ref="C12:C13"/>
    <mergeCell ref="N12:N13"/>
    <mergeCell ref="B14:B15"/>
    <mergeCell ref="C14:C15"/>
    <mergeCell ref="D14:D15"/>
    <mergeCell ref="N14:N15"/>
    <mergeCell ref="E2:M2"/>
    <mergeCell ref="B4:B5"/>
    <mergeCell ref="C4:C5"/>
    <mergeCell ref="D4:D5"/>
    <mergeCell ref="D12:D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ector xmlns="3974794e-4756-46e1-9e92-7d069dd436b7" xsi:nil="true"/>
    <qzcy xmlns="3974794e-4756-46e1-9e92-7d069dd436b7" xsi:nil="true"/>
    <Secci_x00f3_n xmlns="3974794e-4756-46e1-9e92-7d069dd436b7" xsi:nil="true"/>
    <Tema xmlns="3974794e-4756-46e1-9e92-7d069dd436b7" xsi:nil="true"/>
    <Actor_x0020_2 xmlns="3974794e-4756-46e1-9e92-7d069dd436b7" xsi:nil="true"/>
    <_dlc_DocId xmlns="c9af1732-5c4a-47a8-8a40-65a3d58cbfeb">H4ZUARPRAJFR-49-8844</_dlc_DocId>
    <_dlc_DocIdUrl xmlns="c9af1732-5c4a-47a8-8a40-65a3d58cbfeb">
      <Url>http://portal/seccion/centro_documental/_layouts/15/DocIdRedir.aspx?ID=H4ZUARPRAJFR-49-8844</Url>
      <Description>H4ZUARPRAJFR-49-8844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66F828414A6E240AABA28FBBB61B714" ma:contentTypeVersion="5" ma:contentTypeDescription="Crear nuevo documento." ma:contentTypeScope="" ma:versionID="a3548d2fc7ae785f3ba5ec3748fa7c0e">
  <xsd:schema xmlns:xsd="http://www.w3.org/2001/XMLSchema" xmlns:xs="http://www.w3.org/2001/XMLSchema" xmlns:p="http://schemas.microsoft.com/office/2006/metadata/properties" xmlns:ns2="c9af1732-5c4a-47a8-8a40-65a3d58cbfeb" xmlns:ns3="3974794e-4756-46e1-9e92-7d069dd436b7" targetNamespace="http://schemas.microsoft.com/office/2006/metadata/properties" ma:root="true" ma:fieldsID="33d3f5d2f1de4e51e45ef0743d009f68" ns2:_="" ns3:_="">
    <xsd:import namespace="c9af1732-5c4a-47a8-8a40-65a3d58cbfeb"/>
    <xsd:import namespace="3974794e-4756-46e1-9e92-7d069dd436b7"/>
    <xsd:element name="properties">
      <xsd:complexType>
        <xsd:sequence>
          <xsd:element name="documentManagement">
            <xsd:complexType>
              <xsd:all>
                <xsd:element ref="ns2:_dlc_DocId" minOccurs="0"/>
                <xsd:element ref="ns2:_dlc_DocIdUrl" minOccurs="0"/>
                <xsd:element ref="ns2:_dlc_DocIdPersistId" minOccurs="0"/>
                <xsd:element ref="ns3:Secci_x00f3_n" minOccurs="0"/>
                <xsd:element ref="ns3:Sector" minOccurs="0"/>
                <xsd:element ref="ns3:Tema" minOccurs="0"/>
                <xsd:element ref="ns3:qzcy" minOccurs="0"/>
                <xsd:element ref="ns3:Actor_x0020_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974794e-4756-46e1-9e92-7d069dd436b7" elementFormDefault="qualified">
    <xsd:import namespace="http://schemas.microsoft.com/office/2006/documentManagement/types"/>
    <xsd:import namespace="http://schemas.microsoft.com/office/infopath/2007/PartnerControls"/>
    <xsd:element name="Secci_x00f3_n" ma:index="11" nillable="true" ma:displayName="Sección" ma:format="Dropdown" ma:internalName="Secci_x00f3_n">
      <xsd:simpleType>
        <xsd:union memberTypes="dms:Text">
          <xsd:simpleType>
            <xsd:restriction base="dms:Choice">
              <xsd:enumeration value="Cuerpos Colegiados"/>
              <xsd:enumeration value="Tribunal de Solución de Controversias"/>
            </xsd:restriction>
          </xsd:simpleType>
        </xsd:union>
      </xsd:simpleType>
    </xsd:element>
    <xsd:element name="Sector" ma:index="12" nillable="true" ma:displayName="Sector" ma:format="Dropdown" ma:internalName="Sector">
      <xsd:simpleType>
        <xsd:union memberTypes="dms:Text">
          <xsd:simpleType>
            <xsd:restriction base="dms:Choice">
              <xsd:enumeration value="Electricidad"/>
              <xsd:enumeration value="Gas Natural"/>
              <xsd:enumeration value="Hidrocarburos Líquidos"/>
              <xsd:enumeration value="Otros"/>
            </xsd:restriction>
          </xsd:simpleType>
        </xsd:union>
      </xsd:simpleType>
    </xsd:element>
    <xsd:element name="Tema" ma:index="13" nillable="true" ma:displayName="Tema" ma:format="Dropdown" ma:internalName="Tema">
      <xsd:simpleType>
        <xsd:union memberTypes="dms:Text">
          <xsd:simpleType>
            <xsd:restriction base="dms:Choice">
              <xsd:enumeration value="Calidad"/>
              <xsd:enumeration value="Regulación"/>
              <xsd:enumeration value="Acceso"/>
              <xsd:enumeration value="Otros"/>
            </xsd:restriction>
          </xsd:simpleType>
        </xsd:union>
      </xsd:simpleType>
    </xsd:element>
    <xsd:element name="qzcy" ma:index="14" nillable="true" ma:displayName="Actor 1" ma:internalName="qzcy">
      <xsd:simpleType>
        <xsd:restriction base="dms:Text"/>
      </xsd:simpleType>
    </xsd:element>
    <xsd:element name="Actor_x0020_2" ma:index="15" nillable="true" ma:displayName="Actor 2" ma:internalName="Actor_x0020_2">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A3D2917-5929-4B9E-A000-9229CF1F1896}"/>
</file>

<file path=customXml/itemProps2.xml><?xml version="1.0" encoding="utf-8"?>
<ds:datastoreItem xmlns:ds="http://schemas.openxmlformats.org/officeDocument/2006/customXml" ds:itemID="{420EC8CE-7908-47FA-A6C1-467E59DD29D7}"/>
</file>

<file path=customXml/itemProps3.xml><?xml version="1.0" encoding="utf-8"?>
<ds:datastoreItem xmlns:ds="http://schemas.openxmlformats.org/officeDocument/2006/customXml" ds:itemID="{B56DB348-3C44-422D-A5EF-3172FD764D98}"/>
</file>

<file path=customXml/itemProps4.xml><?xml version="1.0" encoding="utf-8"?>
<ds:datastoreItem xmlns:ds="http://schemas.openxmlformats.org/officeDocument/2006/customXml" ds:itemID="{5CA023AF-F986-4BF5-969B-40FF69B45F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CONSORCIO FIMS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Documento Osinergmin</dc:title>
  <dc:creator>Osinergmin</dc:creator>
  <cp:lastModifiedBy>Alejandro Martin Pastor Podesta</cp:lastModifiedBy>
  <cp:lastPrinted>2023-12-10T16:25:40Z</cp:lastPrinted>
  <dcterms:created xsi:type="dcterms:W3CDTF">2019-11-14T14:16:27Z</dcterms:created>
  <dcterms:modified xsi:type="dcterms:W3CDTF">2024-04-17T16:28:37Z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0x010100F66F828414A6E240AABA28FBBB61B714</vt:lpwstr>
  </property>
  <property fmtid="{D5CDD505-2E9C-101B-9397-08002B2CF9AE}" pid="3" name="_dlc_DocIdItemGuid">
    <vt:lpwstr>b56ea4aa-6cd0-4aeb-a6dc-a79e3036d5f7</vt:lpwstr>
  </property>
</Properties>
</file>