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HL\2023\5. Programa Anual de Supervisión\3. PSES 09-2023-Osinergmin-DSHL\Segunda Convocatoria\6. Evaluación\"/>
    </mc:Choice>
  </mc:AlternateContent>
  <bookViews>
    <workbookView xWindow="0" yWindow="0" windowWidth="19200" windowHeight="6180" activeTab="2"/>
  </bookViews>
  <sheets>
    <sheet name="Resumen" sheetId="1" r:id="rId1"/>
    <sheet name="YURANI - GOWAL" sheetId="22" r:id="rId2"/>
    <sheet name="INAB - MORENO" sheetId="1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5" l="1"/>
  <c r="K19" i="15" l="1"/>
  <c r="K15" i="15"/>
  <c r="K12" i="15"/>
  <c r="K8" i="15"/>
  <c r="K57" i="15" l="1"/>
  <c r="H57" i="15"/>
  <c r="K56" i="15"/>
  <c r="H56" i="15"/>
  <c r="K55" i="15"/>
  <c r="H55" i="15"/>
  <c r="L58" i="15"/>
  <c r="K58" i="15" s="1"/>
  <c r="H58" i="15"/>
  <c r="L54" i="15"/>
  <c r="K54" i="15" s="1"/>
  <c r="H54" i="15"/>
  <c r="L53" i="15"/>
  <c r="K53" i="15"/>
  <c r="H53" i="15"/>
  <c r="L52" i="15"/>
  <c r="K52" i="15" s="1"/>
  <c r="H52" i="15"/>
  <c r="L51" i="15"/>
  <c r="K51" i="15" s="1"/>
  <c r="H51" i="15"/>
  <c r="L50" i="15"/>
  <c r="K50" i="15" s="1"/>
  <c r="H50" i="15"/>
  <c r="L46" i="15"/>
  <c r="K46" i="15" s="1"/>
  <c r="H46" i="15"/>
  <c r="H45" i="15"/>
  <c r="L45" i="15"/>
  <c r="K45" i="15" s="1"/>
  <c r="L44" i="15"/>
  <c r="K44" i="15" s="1"/>
  <c r="H44" i="15"/>
  <c r="L47" i="15"/>
  <c r="K47" i="15" s="1"/>
  <c r="H47" i="15"/>
  <c r="L49" i="15"/>
  <c r="K49" i="15" s="1"/>
  <c r="H49" i="15"/>
  <c r="L48" i="15"/>
  <c r="K48" i="15" s="1"/>
  <c r="H48" i="15"/>
  <c r="L42" i="15"/>
  <c r="K42" i="15" s="1"/>
  <c r="H42" i="15"/>
  <c r="L43" i="15"/>
  <c r="K43" i="15" s="1"/>
  <c r="H43" i="15"/>
  <c r="L41" i="15"/>
  <c r="L40" i="15"/>
  <c r="L39" i="15"/>
  <c r="L38" i="15"/>
  <c r="L37" i="15"/>
  <c r="L36" i="15"/>
  <c r="L35" i="15"/>
  <c r="L34" i="15"/>
  <c r="L33" i="15"/>
  <c r="L31" i="15"/>
  <c r="L30" i="15"/>
  <c r="L32" i="15" l="1"/>
  <c r="K40" i="15"/>
  <c r="H40" i="15"/>
  <c r="K41" i="15"/>
  <c r="H41" i="15"/>
  <c r="K38" i="15"/>
  <c r="H38" i="15"/>
  <c r="K39" i="15"/>
  <c r="H39" i="15"/>
  <c r="K37" i="15"/>
  <c r="H37" i="15"/>
  <c r="K35" i="15"/>
  <c r="H35" i="15"/>
  <c r="K36" i="15"/>
  <c r="H36" i="15"/>
  <c r="D78" i="15"/>
  <c r="K33" i="15"/>
  <c r="H33" i="15"/>
  <c r="K34" i="15"/>
  <c r="H34" i="15"/>
  <c r="K29" i="15"/>
  <c r="H29" i="15"/>
  <c r="K28" i="15"/>
  <c r="H28" i="15"/>
  <c r="K26" i="15"/>
  <c r="H26" i="15"/>
  <c r="K27" i="15"/>
  <c r="H27" i="15"/>
  <c r="I5" i="22"/>
  <c r="G72" i="15" l="1"/>
  <c r="K32" i="15"/>
  <c r="K31" i="15"/>
  <c r="H31" i="15"/>
  <c r="H32" i="15"/>
  <c r="K30" i="15"/>
  <c r="H30" i="15"/>
  <c r="H24" i="15"/>
  <c r="K25" i="15"/>
  <c r="H25" i="15"/>
  <c r="K24" i="15"/>
  <c r="H22" i="15"/>
  <c r="K23" i="15"/>
  <c r="H23" i="15"/>
  <c r="K22" i="15"/>
  <c r="K21" i="15"/>
  <c r="H21" i="15"/>
  <c r="K20" i="15"/>
  <c r="H20" i="15"/>
  <c r="K18" i="15"/>
  <c r="H18" i="15"/>
  <c r="K17" i="15"/>
  <c r="H17" i="15"/>
  <c r="H19" i="15"/>
  <c r="K16" i="15"/>
  <c r="H16" i="15"/>
  <c r="K14" i="15" l="1"/>
  <c r="H14" i="15"/>
  <c r="H15" i="15"/>
  <c r="K13" i="15"/>
  <c r="H13" i="15"/>
  <c r="K11" i="15"/>
  <c r="H11" i="15"/>
  <c r="K10" i="15"/>
  <c r="H10" i="15"/>
  <c r="K9" i="15"/>
  <c r="H9" i="15"/>
  <c r="H12" i="15"/>
  <c r="H8" i="15"/>
  <c r="K6" i="15"/>
  <c r="H6" i="15"/>
  <c r="K5" i="15"/>
  <c r="H5" i="15"/>
  <c r="F74" i="15"/>
  <c r="G60" i="15"/>
  <c r="H60" i="15" s="1"/>
  <c r="K7" i="15"/>
  <c r="H7" i="15"/>
  <c r="K4" i="15"/>
  <c r="H4" i="15"/>
  <c r="I60" i="15" l="1"/>
  <c r="F31" i="22"/>
  <c r="L9" i="22"/>
  <c r="L19" i="22"/>
  <c r="K19" i="22"/>
  <c r="H19" i="22"/>
  <c r="L18" i="22"/>
  <c r="K18" i="22" s="1"/>
  <c r="H18" i="22"/>
  <c r="L17" i="22"/>
  <c r="K17" i="22" s="1"/>
  <c r="L16" i="22"/>
  <c r="K16" i="22" s="1"/>
  <c r="L14" i="22"/>
  <c r="L15" i="22"/>
  <c r="K15" i="22" s="1"/>
  <c r="L12" i="22"/>
  <c r="K12" i="22" s="1"/>
  <c r="L13" i="22"/>
  <c r="L10" i="22"/>
  <c r="K10" i="22" s="1"/>
  <c r="L11" i="22"/>
  <c r="K11" i="22" s="1"/>
  <c r="L8" i="22"/>
  <c r="K9" i="22"/>
  <c r="H17" i="22"/>
  <c r="H16" i="22"/>
  <c r="H15" i="22"/>
  <c r="I14" i="22"/>
  <c r="H14" i="22"/>
  <c r="K13" i="22"/>
  <c r="H13" i="22"/>
  <c r="H12" i="22"/>
  <c r="H11" i="22"/>
  <c r="H10" i="22"/>
  <c r="H9" i="22"/>
  <c r="I8" i="22"/>
  <c r="H8" i="22"/>
  <c r="D64" i="15" l="1"/>
  <c r="K8" i="22"/>
  <c r="K14" i="22"/>
  <c r="L7" i="22"/>
  <c r="K7" i="22" s="1"/>
  <c r="L6" i="22"/>
  <c r="K6" i="22" s="1"/>
  <c r="H7" i="22"/>
  <c r="H6" i="22"/>
  <c r="L5" i="22"/>
  <c r="K5" i="22" s="1"/>
  <c r="D24" i="22" s="1"/>
  <c r="L4" i="22"/>
  <c r="K4" i="22" s="1"/>
  <c r="H5" i="22"/>
  <c r="H4" i="22"/>
  <c r="G21" i="22"/>
  <c r="H21" i="22" s="1"/>
  <c r="G33" i="22"/>
  <c r="F35" i="22" s="1"/>
  <c r="D25" i="22" l="1"/>
  <c r="I21" i="22"/>
</calcChain>
</file>

<file path=xl/comments1.xml><?xml version="1.0" encoding="utf-8"?>
<comments xmlns="http://schemas.openxmlformats.org/spreadsheetml/2006/main">
  <authors>
    <author>Wilmer Anthony Del Villar Guerra</author>
  </authors>
  <commentList>
    <comment ref="I32" authorId="0" shapeId="0">
      <text>
        <r>
          <rPr>
            <b/>
            <sz val="9"/>
            <color indexed="81"/>
            <rFont val="Tahoma"/>
            <family val="2"/>
          </rPr>
          <t>Wilmer Anthony Del Villar Guerra:</t>
        </r>
        <r>
          <rPr>
            <sz val="9"/>
            <color indexed="81"/>
            <rFont val="Tahoma"/>
            <family val="2"/>
          </rPr>
          <t xml:space="preserve">
¿Se debe restar la penalidad?</t>
        </r>
      </text>
    </comment>
  </commentList>
</comments>
</file>

<file path=xl/sharedStrings.xml><?xml version="1.0" encoding="utf-8"?>
<sst xmlns="http://schemas.openxmlformats.org/spreadsheetml/2006/main" count="242" uniqueCount="153">
  <si>
    <t>Factor de Evaluación</t>
  </si>
  <si>
    <t>Criterio de Evaluación para Supervisión</t>
  </si>
  <si>
    <t>Rango de Evaluación</t>
  </si>
  <si>
    <t>N°</t>
  </si>
  <si>
    <t>Objeto del Contrato</t>
  </si>
  <si>
    <t>Cliente</t>
  </si>
  <si>
    <t xml:space="preserve">Documento </t>
  </si>
  <si>
    <t xml:space="preserve">Inicio </t>
  </si>
  <si>
    <t xml:space="preserve">Fin </t>
  </si>
  <si>
    <t>Tiempo</t>
  </si>
  <si>
    <t>Folio</t>
  </si>
  <si>
    <t>Monto Valido</t>
  </si>
  <si>
    <t>Penalidad</t>
  </si>
  <si>
    <t>Fecha de Validez de los Contratos:</t>
  </si>
  <si>
    <t>Número de Veces el Valor Referencial</t>
  </si>
  <si>
    <t>Puntaje Factor de Evaluación</t>
  </si>
  <si>
    <t>Asignado</t>
  </si>
  <si>
    <t>Observación</t>
  </si>
  <si>
    <t>Monto</t>
  </si>
  <si>
    <t>CRITERIOS DE EVALUACIÓN TÉCNICA DE LA EST</t>
  </si>
  <si>
    <t>Propuesta Técnica</t>
  </si>
  <si>
    <t>Propuesta Económica</t>
  </si>
  <si>
    <t>Prop. Económica más baja</t>
  </si>
  <si>
    <t>RESULTADO FINAL</t>
  </si>
  <si>
    <t>OSINERGMIN</t>
  </si>
  <si>
    <t>Experiencia del Postor</t>
  </si>
  <si>
    <t>FACTORES TECNICOS</t>
  </si>
  <si>
    <t>Valor Referencial:</t>
  </si>
  <si>
    <t>Valor Experiencia del Postor</t>
  </si>
  <si>
    <t xml:space="preserve">EXPERIENCIA DEL POSTOR: En el Servicio de Supervisión, Fiscalización, Diseño, Construcción, Inspección, Mantenimiento, u Operación de Instalaciones de Hidrocarburos. 
Evaluación:
Se evaluará en función al monto facturado acumulado por el postor de hasta [TRES (3) VECES EL VALOR REFERENCIAL, por la contratación de servicios de supervisión/fiscalización, durante un periodo de OCHO (8) AÑOS] (a) a la fecha de la presentación de propuestas.
Acreditación:
Copia simple de contratos u órdenes de servicios, y su respectiva conformidad por la prestación efectuada; o comprobantes de pago (b) cuya cancelación se acredite documental y fehacientemente, con un máximo de veinte (20) servicios prestados (c) a uno o más clientes, sin establecer limitaciones por el monto o el tiempo del servicio ejecutado.
En caso los postores presenten varios comprobantes de pago para acreditar una sola contratación, se debe acreditar que corresponden a dicha contratación; de lo contrario, se asumirá que los comprobantes acreditan contrataciones independientes, en cuyo caso solo se considerará, para la evaluación, las veinte (20) primeras contrataciones indicadas en el Anexo Nº 5 referido a la Experiencia del Postor.
</t>
  </si>
  <si>
    <t>Monto igual o mayor a 2.5 veces el valor referencial hasta 3 veces el valor referencial, 100 puntos.</t>
  </si>
  <si>
    <t>Monto igual o mayor a 2 veces el valor referencial y menor a 2.5 veces el valor referencial, 95 puntos.</t>
  </si>
  <si>
    <t>Monto igual o mayor a 1.5 veces el valor referencial y menor a 2 veces el valor referencial, 85 puntos.</t>
  </si>
  <si>
    <t>Monto mayor a 1 vez el valor referencial y menor a 1.5 veces el valor referencial, 80 puntos.</t>
  </si>
  <si>
    <t>SI</t>
  </si>
  <si>
    <t>Factor</t>
  </si>
  <si>
    <t>CONSTANCIA DE PRESTACION DE SERVICIOS DE SUPERVISIÓN N° DSHL-51-2018</t>
  </si>
  <si>
    <t>Contrato de Locación de Servicios N° SUP1600240</t>
  </si>
  <si>
    <t>Segunda Addenda al Contrato de Locación de Servicios N° SUP1600240</t>
  </si>
  <si>
    <t>Propuesta Ecónomica</t>
  </si>
  <si>
    <t>PUNTAJE TOTAL TECNICO</t>
  </si>
  <si>
    <t>CONSORCIO YURANI SERVICE S.A.C. – INSPECCION Y MANTENIMIENTO GOWAL E.I.R.L</t>
  </si>
  <si>
    <t xml:space="preserve">CONSORCIO CONSULTORIAS Y SERVICIOS INGENIEROS Y ABOGADOS S.A.C. – MORENO &amp; PEREZ ABOGADOS Y CONTADORES S. CIVIL DE R.L. </t>
  </si>
  <si>
    <t>FECHA DE CÓMPUTO DE LOS 8 ÚLTIMOS AÑOS: 03/12/2015</t>
  </si>
  <si>
    <t>Contrato de Locación de Servicios N° SUP1600262</t>
  </si>
  <si>
    <t>CONSTANCIA DE PRESTACION DE SERVICIOS DE SUPERVISIÓN N° DSHL-233-2017</t>
  </si>
  <si>
    <t>Brindar locación de servicios de "Supervisión y fiscalización de actividades e instalaciones en refinerías, plantas de abastecimiento y plantas de lubricantes"</t>
  </si>
  <si>
    <t>Porcentaje consorcio propuesta = 90%
Porcesntaje Contrato de Locación de Servicios N° SUP1600262 = 36%</t>
  </si>
  <si>
    <t>Contrato de Locación de Servicios N° SUP1800007</t>
  </si>
  <si>
    <t>CONSTANCIA DE PRESTACION DE SERVICIOS DE SUPERVISIÓN N° DSHL-47-2019</t>
  </si>
  <si>
    <t>Brindar locación de servicios de "Supervisión y fiscalización del Oleoducto Norperuano, el cual comprende sus estaciones y ductos ubicados en el Departamento de Loreto"</t>
  </si>
  <si>
    <t>Porcentaje consorcio propuesta = 90%
Porcesntaje Contrato de Locación de Servicios N° SUP1800007 = 33%</t>
  </si>
  <si>
    <t>Contrato de Locación de Servicios N° SUP1900022</t>
  </si>
  <si>
    <t>CONSTANCIA DE PRESTACION DE SERVICIOS DE SUPERVISIÓN N° DSHL-37-2021</t>
  </si>
  <si>
    <t>Contrato de Locación de Servicios N° SUP2100030</t>
  </si>
  <si>
    <t>CONSTANCIA DE PRESTACION DE SERVICIOS DE SUPERVISIÓN N° DSHL-113-2022</t>
  </si>
  <si>
    <t>Contrato de Locación de Servicios N° SUP2200057</t>
  </si>
  <si>
    <t>CONSTANCIA DE PRESTACION DE SERVICIOS DE SUPERVISIÓN N° DSHL-126-2023</t>
  </si>
  <si>
    <t>Brindar locación de servicios profesionales de supervisión de Gas Natural</t>
  </si>
  <si>
    <t>Contrato de Locación de Servicios N° SUP1800059</t>
  </si>
  <si>
    <t>CONSTANCIA DE PRESTACION DE SERVICIOS DE SUPERVISIÓN N° 101-DSGN/GSE</t>
  </si>
  <si>
    <t>Contrato de Locación de Servicios N° SUP2100096</t>
  </si>
  <si>
    <t>CONSTANCIA DE PRESTACION DE SERVICIOS DE SUPERVISIÓN N° 61-2023-ALOG</t>
  </si>
  <si>
    <t>Porcentaje consorcio propuesta = 90%
Porcesntaje Contrato de Locación de Servicios N° SUP1900022= 33%</t>
  </si>
  <si>
    <t>Porcentaje consorcio propuesta = 90%
Porcesntaje Contrato de Locación de Servicios N° SUP2100030= 33%</t>
  </si>
  <si>
    <t>Porcentaje consorcio propuesta = 90%
Porcesntaje Contrato de Locación de Servicios N° SUP2200057= 33%</t>
  </si>
  <si>
    <t>Porcentaje consorcio propuesta = 90%
Porcesntaje Contrato de Locación de Servicios N° SUP1800059= 73%</t>
  </si>
  <si>
    <t>Contrato de Locación de Servicios N° SUP2200135</t>
  </si>
  <si>
    <t>CONSTANCIA DE PRESTACION DE SERVICIOS DE SUPERVISIÓN N° 147-2023-ALOG</t>
  </si>
  <si>
    <t>Porcentaje consorcio propuesta = 90%
Porcesntaje Contrato de Locación de Servicios N° SUP2200135= 73%</t>
  </si>
  <si>
    <t>CONSTANCIA DE PRESTACION DE SERVICIOS DE SUPERVISIÓN N° 37-DSR/GSE</t>
  </si>
  <si>
    <t xml:space="preserve">Porcentaje consorcio propuesta = 70%
</t>
  </si>
  <si>
    <t>Contrato de Locación de Servicios N° SUP1700069</t>
  </si>
  <si>
    <t>Supervisión del Inventario de los Bienes de Concesión y del Valor Neto Contable, Contabilidad Regulatoria y Plan de Inversiones</t>
  </si>
  <si>
    <t>CONSTANCIA DE PRESTACION DE SERVICIOS DE SUPERVISIÓN N° 40-DSGN/GSE</t>
  </si>
  <si>
    <t>Contrato de Locación de Servicios N° 018PJ/2015-GFGN</t>
  </si>
  <si>
    <t>Primera Addenda al Contrato de Locación de Servicios N° 018PJ/2015-GFGN</t>
  </si>
  <si>
    <t>Segunda Addenda al Contrato de Locación de Servicios N° 018PJ/2015-GFGN</t>
  </si>
  <si>
    <t>Tercera Addenda al Contrato de Locación de Servicios N° 018PJ/2015-GFGN</t>
  </si>
  <si>
    <t>Brindar el servicios de "Supervisión y fiscalización de las obligaciones en las actividade reguladas en la industria de gas natural a fin de verificar el marco normativo aplicable, encargadas por Osinergmin"</t>
  </si>
  <si>
    <t>CONSTANCIA DE PRESTACION DE SERVICIOS DE SUPERVISIÓN N° 54-DSGN/GSE</t>
  </si>
  <si>
    <t>Contrato de Locación de Servicios N° 019PJ/2015-GFGN</t>
  </si>
  <si>
    <t>Supervisión de Mecanismo de Ingresos Garantizados y Fondo de Inclusión Social Energético</t>
  </si>
  <si>
    <t>Primera Addenda al Contrato de Locación de Servicios N° 019PJ/2015-GFGN</t>
  </si>
  <si>
    <t>Primera Addenda al Contrato de Locación de Servicios N° SUP1700069</t>
  </si>
  <si>
    <t>Tercera Addenda al Contrato de Locación de Servicios N° SUP1700069</t>
  </si>
  <si>
    <t>Supervisión de las condiciones técnicas y de seguridad asumidas contractualmente por los agentes supervisados en las actividades de trasporte y distribución de gas natural</t>
  </si>
  <si>
    <t>CONSTANCIA DE PRESTACION DE SERVICIOS DE SUPERVISIÓN N° 35-DSGN/GSE</t>
  </si>
  <si>
    <t>Contrato de Locación de Servicios N° 020PJ/2015-GFGN</t>
  </si>
  <si>
    <t>Segunda Addenda al Contrato de Locación de Servicios N° 020PJ/2015-GFGN</t>
  </si>
  <si>
    <t>Cuarta Addenda al Contrato de Locación de Servicios N° 020PJ/2015-GFGN</t>
  </si>
  <si>
    <t>Brindar servicios profesionales de supervisión para los subsectores de hidrocarburos líquidos, gas natural y electricidad bajo la competencia de la División de Supervisión Regional</t>
  </si>
  <si>
    <t>CONSTANCIA DE PRESTACION DE SERVICIOS DE SUPERVISIÓN N° 143-2022-DSR</t>
  </si>
  <si>
    <t>Contrato de Locación de Servicios N° SUP1600248</t>
  </si>
  <si>
    <t xml:space="preserve">Porcentaje consorcio propuesta = 70%
</t>
  </si>
  <si>
    <t>Supervisión de los Sistemas de Transporte de Gas Natural y Líquidos de Gas Natural por Ductos</t>
  </si>
  <si>
    <t>CONSTANCIA DE PRESTACION DE SERVICIOS DE SUPERVISIÓN N° 53-DSGN/GSE</t>
  </si>
  <si>
    <t>Contrato de Locación de Servicios N° SUP1600257</t>
  </si>
  <si>
    <t>CONSTANCIA DE PRESTACION DE SERVICIOS DE SUPERVISIÓN N° 142-2022-DSR</t>
  </si>
  <si>
    <t>Contrato de Locación de Servicios N° 004PJ/2016-DSR</t>
  </si>
  <si>
    <t>Supervisión de las actividades de exploración y explotación de hidrocarburos en lotes petroleros incluyendo los consumidores directos fijos y moviles consituidos para estas actividades</t>
  </si>
  <si>
    <t>4.11 veces el valor referencial.</t>
  </si>
  <si>
    <t>Brindar locación de servicios de "Supervisión y fiscalización del Oleoducto Norperuano, el cual comprende sus estaciones y ductos ubicados en el departamento de Loreto"</t>
  </si>
  <si>
    <t>Servicio de fiscalización y verificación del cumplimiento de las obligaciones derivadas del Aporte por Regulación correspondiente a las empresas supervisadas del Sector Hidrocarburos</t>
  </si>
  <si>
    <t>Contrato de Locación de Servicios N° 002/2016-ADIN</t>
  </si>
  <si>
    <t>CONSTANCIA DE PRESTACIÓN DE SERVICIO DE SUPERVISIÓN N° 002-2016-ADIN</t>
  </si>
  <si>
    <t>CONSTANCIA DE PRESTACIÓN DE SERVICIO DE SUPERVISIÓN N° 003-2016-ADIN</t>
  </si>
  <si>
    <t>Contrato de Locación de Servicios N° 003/2016-ADIN</t>
  </si>
  <si>
    <t xml:space="preserve">Porcentaje consorcio propuesta = 30%
Porcentaje Contrato de Locación de Servicios N° SUP1600240 = 20%
</t>
  </si>
  <si>
    <t>Supervisión de supervisión y fiscalización de actividades de exploración y explotación de hidrocarburos, en la costa norte 1</t>
  </si>
  <si>
    <t>CONSTANCIA DE PRESTACIÓN DE SERVICIO DE SUPERVISIÓN N° DSHL-210-2023</t>
  </si>
  <si>
    <t xml:space="preserve">Porcentaje consorcio propuesta = 30%
Porcentaje Contrato de Locación de Servicios N° SUP2200128 = 20%
</t>
  </si>
  <si>
    <t>Contrato Locación de Servicios - Renovación SUP2200128</t>
  </si>
  <si>
    <t>Supervisión y fiscalización de actividades de exploración y explotación de hidrocarburos, en la costa norte 1</t>
  </si>
  <si>
    <t>CONSTANCIA DE PRESTACIÓN DE SERVICIO DE SUPERVISIÓN N° DSHL-177-2022</t>
  </si>
  <si>
    <t>Renovación SUP2100079 - Contrato Locación de Servicios</t>
  </si>
  <si>
    <t xml:space="preserve">Porcentaje consorcio propuesta = 30%
Porcentaje Contrato de Locación de Servicios N° SUP2100079 = 20%
</t>
  </si>
  <si>
    <t>Servicios de Supervisión y Fiscalización de actividades de exploración y explotación de hidrocarburo, en la costa norte 1</t>
  </si>
  <si>
    <t>Contrato de Locación de Servicios SUP1800044</t>
  </si>
  <si>
    <t xml:space="preserve">Porcentaje consorcio propuesta = 30%
Porcentaje Contrato de Locación de Servicios N° SUP1800044 = 20%
</t>
  </si>
  <si>
    <t>CONSTANCIA DE PRESTACIÓN DE SERVICIO DE SUPERVISIÓN N° DSHL-78-2021</t>
  </si>
  <si>
    <t>Cuarta adenda - Contrato de Locación de Servicios N° SUP1800044</t>
  </si>
  <si>
    <t>CONSTANCIA DE PRESTACIÓN DE SERVICIO DE SUPERVISIÓN N° DSHL-211-2023</t>
  </si>
  <si>
    <t>Porcentaje consorcio propuesta = 30%
Porcentaje Contrato de Locación de Servicios N° SUP2200129 = 20%</t>
  </si>
  <si>
    <t>Contrato de Locación de Servicios - Renovación SUP2200129</t>
  </si>
  <si>
    <t>Porcentaje consorcio propuesta = 70%</t>
  </si>
  <si>
    <t>CONSTANCIA DE PRESTACIÓN DE SERVICIO DE SUPERVISIÓN N° DSHL-178-2022</t>
  </si>
  <si>
    <t>Renovación SUP2100080 - Contrato Locación de Servicios</t>
  </si>
  <si>
    <t>Servicios de Supervisión y Fiscalización de actividades de exploración y explotación de hidrocarburos, en la costa norte 2</t>
  </si>
  <si>
    <t>CONSTANCIA DE PRESTACIÓN DE SERVICIO DE SUPERVISIÓN N° DSHL-80-2021</t>
  </si>
  <si>
    <t>Contrato de Locación de Servicios SUP1800045</t>
  </si>
  <si>
    <t>Primera Adenda - Contrato de Locación de Servicios SUP1800045</t>
  </si>
  <si>
    <t>Tercera Adenda - Contrato de Locación de Servicios SUP1800045</t>
  </si>
  <si>
    <t>Supervisión y fiscalización de actividades de exploración y explotación de hidrocarburos, en Offshore</t>
  </si>
  <si>
    <t>CONSTANCIA DE PRESTACIÓN DE SERVICIO DE SUPERVISIÓN N° DSHL-13-2023</t>
  </si>
  <si>
    <t>Contrato de Locación de Servicios - Renovación SUP2200122</t>
  </si>
  <si>
    <t>CONSTANCIA DE PRESTACIÓN DE SERVICIO DE SUPERVISIÓN N° DSHL-176-2022</t>
  </si>
  <si>
    <t>Contrato de Locación de Servicios - Renovación SUP2100163</t>
  </si>
  <si>
    <t>CONSTANCIA DE PRESTACIÓN DE SERVICIO DE SUPERVISIÓN N° DSHL-8-2022</t>
  </si>
  <si>
    <t>Renovación de Contrato Locación de Servicio</t>
  </si>
  <si>
    <t>CONSTANCIA DE PRESTACIÓN DE SERVICIO DE SUPERVISIÓN N° DSHL-54-2021</t>
  </si>
  <si>
    <t>Contrato de Locación de Servicios SUP1800042</t>
  </si>
  <si>
    <t>Tercera Adenda - Contrato de Locación de Servicios SUP1800042</t>
  </si>
  <si>
    <t>Quinta Adenda - Contrato de Locación de Servicios SUP1800042</t>
  </si>
  <si>
    <t>Sétima Adenda - Contrato de Locación de Servicios SUP1800042</t>
  </si>
  <si>
    <t>Porcentaje consorcio propuesta = 30%
Porcentaje Contrato de Locación de Servicios N° SUP2100080 = 20%</t>
  </si>
  <si>
    <t>Porcentaje consorcio propuesta = 30%
Porcentaje Contrato de Locación de Servicios N° SUP1800045 = 20%</t>
  </si>
  <si>
    <t>Porcentaje consorcio propuesta = 30%
Porcentaje Contrato de Locación de Servicios N° SUP2200122 = 20%</t>
  </si>
  <si>
    <t>Porcentaje consorcio propuesta = 30%
Porcentaje Contrato de Locación de Servicios N° SUP2100163 = 20%</t>
  </si>
  <si>
    <t>Porcentaje consorcio propuesta = 30%
Porcentaje Contrato de Locación de Servicios = 20%</t>
  </si>
  <si>
    <t>Porcentaje consorcio propuesta = 30%
Porcentaje Contrato de Locación de Servicios N° SUP1800042 = 20%</t>
  </si>
  <si>
    <t>Porcentaje consorcio propuesta = 70%
Se restan 2 meses por antigüedad de 8 años a la presentación de propuestas.</t>
  </si>
  <si>
    <t>3.12 veces el valor referencial.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</si>
</sst>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S/&quot;\ * #,##0.00_-;\-&quot;S/&quot;\ * #,##0.00_-;_-&quot;S/&quot;\ * &quot;-&quot;??_-;_-@_-"/>
    <numFmt numFmtId="164" formatCode="_-&quot;S/&quot;* #,##0.00_-;\-&quot;S/&quot;* #,##0.00_-;_-&quot;S/&quot;* &quot;-&quot;??_-;_-@_-"/>
    <numFmt numFmtId="165" formatCode="0.0"/>
    <numFmt numFmtId="166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" fillId="2" borderId="8" xfId="0" applyFont="1" applyFill="1" applyBorder="1"/>
    <xf numFmtId="0" fontId="0" fillId="0" borderId="0" xfId="0" applyAlignment="1">
      <alignment vertical="top" wrapText="1"/>
    </xf>
    <xf numFmtId="0" fontId="0" fillId="2" borderId="0" xfId="0" applyFill="1"/>
    <xf numFmtId="4" fontId="3" fillId="2" borderId="0" xfId="0" applyNumberFormat="1" applyFont="1" applyFill="1"/>
    <xf numFmtId="164" fontId="3" fillId="4" borderId="0" xfId="0" applyNumberFormat="1" applyFont="1" applyFill="1"/>
    <xf numFmtId="164" fontId="8" fillId="4" borderId="0" xfId="0" applyNumberFormat="1" applyFont="1" applyFill="1"/>
    <xf numFmtId="166" fontId="5" fillId="5" borderId="2" xfId="0" applyNumberFormat="1" applyFont="1" applyFill="1" applyBorder="1"/>
    <xf numFmtId="0" fontId="10" fillId="0" borderId="0" xfId="0" applyFont="1"/>
    <xf numFmtId="4" fontId="9" fillId="0" borderId="0" xfId="0" applyNumberFormat="1" applyFont="1"/>
    <xf numFmtId="2" fontId="10" fillId="0" borderId="0" xfId="0" applyNumberFormat="1" applyFont="1"/>
    <xf numFmtId="0" fontId="0" fillId="0" borderId="0" xfId="0" applyFont="1"/>
    <xf numFmtId="44" fontId="0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8" fillId="5" borderId="8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/>
    <xf numFmtId="4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44" fontId="0" fillId="4" borderId="0" xfId="0" applyNumberFormat="1" applyFill="1"/>
    <xf numFmtId="44" fontId="3" fillId="4" borderId="0" xfId="0" applyNumberFormat="1" applyFont="1" applyFill="1"/>
    <xf numFmtId="4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/>
    <xf numFmtId="2" fontId="0" fillId="0" borderId="0" xfId="0" applyNumberFormat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vertical="center"/>
    </xf>
    <xf numFmtId="4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44" fontId="5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15"/>
  <sheetViews>
    <sheetView topLeftCell="A8" zoomScale="63" zoomScaleNormal="63" workbookViewId="0">
      <selection activeCell="I3" sqref="I3:J3"/>
    </sheetView>
  </sheetViews>
  <sheetFormatPr baseColWidth="10" defaultRowHeight="14.5" x14ac:dyDescent="0.35"/>
  <cols>
    <col min="3" max="3" width="13.453125" customWidth="1"/>
    <col min="4" max="4" width="71.54296875" customWidth="1"/>
    <col min="5" max="5" width="24.453125" customWidth="1"/>
    <col min="6" max="6" width="22" customWidth="1"/>
    <col min="7" max="7" width="20.453125" customWidth="1"/>
    <col min="8" max="8" width="28.26953125" customWidth="1"/>
    <col min="9" max="9" width="20.453125" customWidth="1"/>
    <col min="10" max="10" width="28.26953125" customWidth="1"/>
  </cols>
  <sheetData>
    <row r="2" spans="3:10" ht="15" customHeight="1" x14ac:dyDescent="0.35"/>
    <row r="3" spans="3:10" ht="164" customHeight="1" thickBot="1" x14ac:dyDescent="0.4">
      <c r="C3" s="4"/>
      <c r="E3" s="4"/>
      <c r="F3" s="15"/>
      <c r="G3" s="102" t="s">
        <v>41</v>
      </c>
      <c r="H3" s="103"/>
      <c r="I3" s="102" t="s">
        <v>42</v>
      </c>
      <c r="J3" s="103"/>
    </row>
    <row r="4" spans="3:10" ht="29.5" thickBot="1" x14ac:dyDescent="0.4">
      <c r="C4" s="1" t="s">
        <v>0</v>
      </c>
      <c r="D4" s="2" t="s">
        <v>1</v>
      </c>
      <c r="E4" s="3" t="s">
        <v>2</v>
      </c>
      <c r="F4" s="16" t="s">
        <v>15</v>
      </c>
      <c r="G4" s="16" t="s">
        <v>16</v>
      </c>
      <c r="H4" s="16" t="s">
        <v>17</v>
      </c>
      <c r="I4" s="16" t="s">
        <v>16</v>
      </c>
      <c r="J4" s="16" t="s">
        <v>17</v>
      </c>
    </row>
    <row r="5" spans="3:10" ht="15" thickBot="1" x14ac:dyDescent="0.4">
      <c r="C5" s="105" t="s">
        <v>26</v>
      </c>
      <c r="D5" s="106"/>
      <c r="E5" s="106"/>
      <c r="F5" s="106"/>
      <c r="H5" s="4"/>
      <c r="J5" s="4"/>
    </row>
    <row r="6" spans="3:10" ht="118.5" customHeight="1" thickBot="1" x14ac:dyDescent="0.4">
      <c r="C6" s="96" t="s">
        <v>25</v>
      </c>
      <c r="D6" s="108" t="s">
        <v>29</v>
      </c>
      <c r="E6" s="7" t="s">
        <v>30</v>
      </c>
      <c r="F6" s="8">
        <v>100</v>
      </c>
      <c r="G6" s="99">
        <v>100</v>
      </c>
      <c r="H6" s="96" t="s">
        <v>101</v>
      </c>
      <c r="I6" s="99">
        <v>100</v>
      </c>
      <c r="J6" s="96" t="s">
        <v>152</v>
      </c>
    </row>
    <row r="7" spans="3:10" ht="118.5" customHeight="1" thickBot="1" x14ac:dyDescent="0.4">
      <c r="C7" s="97"/>
      <c r="D7" s="109"/>
      <c r="E7" s="7" t="s">
        <v>31</v>
      </c>
      <c r="F7" s="8">
        <v>95</v>
      </c>
      <c r="G7" s="100"/>
      <c r="H7" s="97"/>
      <c r="I7" s="100"/>
      <c r="J7" s="97"/>
    </row>
    <row r="8" spans="3:10" ht="120.5" customHeight="1" thickBot="1" x14ac:dyDescent="0.4">
      <c r="C8" s="97"/>
      <c r="D8" s="109"/>
      <c r="E8" s="7" t="s">
        <v>32</v>
      </c>
      <c r="F8" s="9">
        <v>85</v>
      </c>
      <c r="G8" s="100"/>
      <c r="H8" s="97"/>
      <c r="I8" s="100"/>
      <c r="J8" s="97"/>
    </row>
    <row r="9" spans="3:10" ht="90" customHeight="1" thickBot="1" x14ac:dyDescent="0.4">
      <c r="C9" s="107"/>
      <c r="D9" s="110"/>
      <c r="E9" s="10" t="s">
        <v>33</v>
      </c>
      <c r="F9" s="8">
        <v>80</v>
      </c>
      <c r="G9" s="101"/>
      <c r="H9" s="98"/>
      <c r="I9" s="101"/>
      <c r="J9" s="98"/>
    </row>
    <row r="10" spans="3:10" ht="19" thickBot="1" x14ac:dyDescent="0.5">
      <c r="C10" s="104" t="s">
        <v>40</v>
      </c>
      <c r="D10" s="104"/>
      <c r="E10" s="104"/>
      <c r="F10" s="104"/>
      <c r="G10" s="104">
        <v>100</v>
      </c>
      <c r="H10" s="104"/>
      <c r="I10" s="94">
        <v>100</v>
      </c>
      <c r="J10" s="95"/>
    </row>
    <row r="14" spans="3:10" ht="15.5" x14ac:dyDescent="0.35">
      <c r="G14" s="25"/>
      <c r="H14" s="24"/>
      <c r="I14" s="25"/>
      <c r="J14" s="24"/>
    </row>
    <row r="15" spans="3:10" ht="15.5" x14ac:dyDescent="0.35">
      <c r="G15" s="25"/>
      <c r="H15" s="26"/>
      <c r="I15" s="25"/>
      <c r="J15" s="26"/>
    </row>
  </sheetData>
  <mergeCells count="12">
    <mergeCell ref="I10:J10"/>
    <mergeCell ref="J6:J9"/>
    <mergeCell ref="I6:I9"/>
    <mergeCell ref="I3:J3"/>
    <mergeCell ref="C10:F10"/>
    <mergeCell ref="C5:F5"/>
    <mergeCell ref="C6:C9"/>
    <mergeCell ref="D6:D9"/>
    <mergeCell ref="G3:H3"/>
    <mergeCell ref="G6:G9"/>
    <mergeCell ref="H6:H9"/>
    <mergeCell ref="G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topLeftCell="A18" zoomScale="60" zoomScaleNormal="60" workbookViewId="0">
      <selection activeCell="G29" sqref="G29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17.6328125" style="52" customWidth="1"/>
    <col min="5" max="5" width="30.453125" style="35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30" bestFit="1" customWidth="1"/>
    <col min="12" max="12" width="12.26953125" style="30" customWidth="1"/>
    <col min="13" max="13" width="10.7265625" style="12" customWidth="1"/>
    <col min="14" max="14" width="24.54296875" style="12" customWidth="1"/>
    <col min="15" max="15" width="13.36328125" style="51" bestFit="1" customWidth="1"/>
  </cols>
  <sheetData>
    <row r="2" spans="2:14" ht="32.15" customHeight="1" thickBot="1" x14ac:dyDescent="0.4">
      <c r="E2" s="117"/>
      <c r="F2" s="118"/>
      <c r="G2" s="118"/>
      <c r="H2" s="118"/>
      <c r="I2" s="118"/>
      <c r="J2" s="118"/>
      <c r="K2" s="118"/>
      <c r="L2" s="118"/>
      <c r="M2" s="118"/>
      <c r="N2"/>
    </row>
    <row r="3" spans="2:14" ht="15" thickBot="1" x14ac:dyDescent="0.4">
      <c r="B3" s="5" t="s">
        <v>3</v>
      </c>
      <c r="C3" s="5" t="s">
        <v>4</v>
      </c>
      <c r="D3" s="53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71" t="s">
        <v>35</v>
      </c>
      <c r="M3" s="74" t="s">
        <v>10</v>
      </c>
      <c r="N3" s="74" t="s">
        <v>17</v>
      </c>
    </row>
    <row r="4" spans="2:14" s="27" customFormat="1" ht="71" customHeight="1" thickBot="1" x14ac:dyDescent="0.4">
      <c r="B4" s="111">
        <v>1</v>
      </c>
      <c r="C4" s="113" t="s">
        <v>46</v>
      </c>
      <c r="D4" s="111" t="s">
        <v>24</v>
      </c>
      <c r="E4" s="61" t="s">
        <v>44</v>
      </c>
      <c r="F4" s="46">
        <v>42697</v>
      </c>
      <c r="G4" s="46">
        <v>43061</v>
      </c>
      <c r="H4" s="62">
        <f>+G4-F4</f>
        <v>364</v>
      </c>
      <c r="I4" s="47">
        <v>3668800</v>
      </c>
      <c r="J4" s="60"/>
      <c r="K4" s="68">
        <f>+I4*L4</f>
        <v>1188691.2</v>
      </c>
      <c r="L4" s="72">
        <f>0.9*0.36</f>
        <v>0.32400000000000001</v>
      </c>
      <c r="M4" s="60">
        <v>63</v>
      </c>
      <c r="N4" s="115" t="s">
        <v>47</v>
      </c>
    </row>
    <row r="5" spans="2:14" s="27" customFormat="1" ht="61.5" customHeight="1" thickBot="1" x14ac:dyDescent="0.4">
      <c r="B5" s="112"/>
      <c r="C5" s="114"/>
      <c r="D5" s="112"/>
      <c r="E5" s="33" t="s">
        <v>45</v>
      </c>
      <c r="F5" s="40">
        <v>42697</v>
      </c>
      <c r="G5" s="40">
        <v>43061</v>
      </c>
      <c r="H5" s="41">
        <f>+G5-F5</f>
        <v>364</v>
      </c>
      <c r="I5" s="77">
        <f>3668800</f>
        <v>3668800</v>
      </c>
      <c r="J5" s="45" t="s">
        <v>34</v>
      </c>
      <c r="K5" s="45">
        <f>+I5*L5</f>
        <v>1188691.2</v>
      </c>
      <c r="L5" s="73">
        <f>0.9*0.36</f>
        <v>0.32400000000000001</v>
      </c>
      <c r="M5" s="43">
        <v>62</v>
      </c>
      <c r="N5" s="116"/>
    </row>
    <row r="6" spans="2:14" s="27" customFormat="1" ht="61.5" customHeight="1" thickBot="1" x14ac:dyDescent="0.4">
      <c r="B6" s="111">
        <v>2</v>
      </c>
      <c r="C6" s="113" t="s">
        <v>50</v>
      </c>
      <c r="D6" s="111" t="s">
        <v>24</v>
      </c>
      <c r="E6" s="61" t="s">
        <v>48</v>
      </c>
      <c r="F6" s="46">
        <v>43125</v>
      </c>
      <c r="G6" s="46">
        <v>43489</v>
      </c>
      <c r="H6" s="62">
        <f>+G6-F6</f>
        <v>364</v>
      </c>
      <c r="I6" s="47">
        <v>1113780</v>
      </c>
      <c r="J6" s="60"/>
      <c r="K6" s="68">
        <f>+I6*L6</f>
        <v>330792.66000000003</v>
      </c>
      <c r="L6" s="72">
        <f>0.9*0.33</f>
        <v>0.29700000000000004</v>
      </c>
      <c r="M6" s="60">
        <v>81</v>
      </c>
      <c r="N6" s="115" t="s">
        <v>51</v>
      </c>
    </row>
    <row r="7" spans="2:14" s="27" customFormat="1" ht="61.5" customHeight="1" thickBot="1" x14ac:dyDescent="0.4">
      <c r="B7" s="112"/>
      <c r="C7" s="114"/>
      <c r="D7" s="112"/>
      <c r="E7" s="33" t="s">
        <v>49</v>
      </c>
      <c r="F7" s="40">
        <v>43125</v>
      </c>
      <c r="G7" s="40">
        <v>43489</v>
      </c>
      <c r="H7" s="41">
        <f>+G7-F7</f>
        <v>364</v>
      </c>
      <c r="I7" s="42">
        <v>1113780</v>
      </c>
      <c r="J7" s="42"/>
      <c r="K7" s="45">
        <f>+I7*L7</f>
        <v>330792.66000000003</v>
      </c>
      <c r="L7" s="73">
        <f>0.9*0.33</f>
        <v>0.29700000000000004</v>
      </c>
      <c r="M7" s="43">
        <v>80</v>
      </c>
      <c r="N7" s="116"/>
    </row>
    <row r="8" spans="2:14" s="27" customFormat="1" ht="73" customHeight="1" thickBot="1" x14ac:dyDescent="0.4">
      <c r="B8" s="111">
        <v>3</v>
      </c>
      <c r="C8" s="123" t="s">
        <v>102</v>
      </c>
      <c r="D8" s="111" t="s">
        <v>24</v>
      </c>
      <c r="E8" s="61" t="s">
        <v>52</v>
      </c>
      <c r="F8" s="46">
        <v>43553</v>
      </c>
      <c r="G8" s="46">
        <v>44283</v>
      </c>
      <c r="H8" s="62">
        <f t="shared" ref="H8" si="0">+G8-F8</f>
        <v>730</v>
      </c>
      <c r="I8" s="47">
        <f>1113780*2</f>
        <v>2227560</v>
      </c>
      <c r="J8" s="60"/>
      <c r="K8" s="28">
        <f t="shared" ref="K8:K17" si="1">+L8*I8</f>
        <v>661585.32000000007</v>
      </c>
      <c r="L8" s="72">
        <f>0.9*0.33</f>
        <v>0.29700000000000004</v>
      </c>
      <c r="M8" s="60">
        <v>100</v>
      </c>
      <c r="N8" s="115" t="s">
        <v>63</v>
      </c>
    </row>
    <row r="9" spans="2:14" s="27" customFormat="1" ht="82.5" customHeight="1" thickBot="1" x14ac:dyDescent="0.4">
      <c r="B9" s="112"/>
      <c r="C9" s="124"/>
      <c r="D9" s="112"/>
      <c r="E9" s="33" t="s">
        <v>53</v>
      </c>
      <c r="F9" s="40">
        <v>43553</v>
      </c>
      <c r="G9" s="40">
        <v>44283</v>
      </c>
      <c r="H9" s="41">
        <f>+G9-F9</f>
        <v>730</v>
      </c>
      <c r="I9" s="42">
        <v>2220924.62</v>
      </c>
      <c r="J9" s="43" t="s">
        <v>34</v>
      </c>
      <c r="K9" s="45">
        <f t="shared" si="1"/>
        <v>659614.6121400001</v>
      </c>
      <c r="L9" s="73">
        <f>0.9*0.33</f>
        <v>0.29700000000000004</v>
      </c>
      <c r="M9" s="43">
        <v>99</v>
      </c>
      <c r="N9" s="116"/>
    </row>
    <row r="10" spans="2:14" s="27" customFormat="1" ht="73" customHeight="1" thickBot="1" x14ac:dyDescent="0.4">
      <c r="B10" s="111">
        <v>4</v>
      </c>
      <c r="C10" s="123" t="s">
        <v>102</v>
      </c>
      <c r="D10" s="111" t="s">
        <v>24</v>
      </c>
      <c r="E10" s="61" t="s">
        <v>54</v>
      </c>
      <c r="F10" s="46">
        <v>44284</v>
      </c>
      <c r="G10" s="46">
        <v>44648</v>
      </c>
      <c r="H10" s="62">
        <f t="shared" ref="H10" si="2">+G10-F10</f>
        <v>364</v>
      </c>
      <c r="I10" s="47">
        <v>1113780</v>
      </c>
      <c r="J10" s="60"/>
      <c r="K10" s="28">
        <f t="shared" si="1"/>
        <v>330792.66000000003</v>
      </c>
      <c r="L10" s="72">
        <f>0.33*0.9</f>
        <v>0.29700000000000004</v>
      </c>
      <c r="M10" s="60">
        <v>127</v>
      </c>
      <c r="N10" s="115" t="s">
        <v>64</v>
      </c>
    </row>
    <row r="11" spans="2:14" s="27" customFormat="1" ht="82.5" customHeight="1" thickBot="1" x14ac:dyDescent="0.4">
      <c r="B11" s="112"/>
      <c r="C11" s="124"/>
      <c r="D11" s="112"/>
      <c r="E11" s="33" t="s">
        <v>55</v>
      </c>
      <c r="F11" s="40">
        <v>44284</v>
      </c>
      <c r="G11" s="40">
        <v>44648</v>
      </c>
      <c r="H11" s="41">
        <f>+G11-F11</f>
        <v>364</v>
      </c>
      <c r="I11" s="42">
        <v>1113780</v>
      </c>
      <c r="J11" s="92"/>
      <c r="K11" s="45">
        <f t="shared" si="1"/>
        <v>330792.66000000003</v>
      </c>
      <c r="L11" s="73">
        <f>0.9*0.33</f>
        <v>0.29700000000000004</v>
      </c>
      <c r="M11" s="43">
        <v>126</v>
      </c>
      <c r="N11" s="116"/>
    </row>
    <row r="12" spans="2:14" s="27" customFormat="1" ht="73" customHeight="1" thickBot="1" x14ac:dyDescent="0.4">
      <c r="B12" s="111">
        <v>5</v>
      </c>
      <c r="C12" s="123" t="s">
        <v>102</v>
      </c>
      <c r="D12" s="111" t="s">
        <v>24</v>
      </c>
      <c r="E12" s="61" t="s">
        <v>56</v>
      </c>
      <c r="F12" s="46">
        <v>44676</v>
      </c>
      <c r="G12" s="46">
        <v>45040</v>
      </c>
      <c r="H12" s="62">
        <f t="shared" ref="H12" si="3">+G12-F12</f>
        <v>364</v>
      </c>
      <c r="I12" s="47">
        <v>1113780</v>
      </c>
      <c r="J12" s="60"/>
      <c r="K12" s="28">
        <f t="shared" si="1"/>
        <v>330792.66000000003</v>
      </c>
      <c r="L12" s="72">
        <f>0.33*0.9</f>
        <v>0.29700000000000004</v>
      </c>
      <c r="M12" s="60">
        <v>151</v>
      </c>
      <c r="N12" s="115" t="s">
        <v>65</v>
      </c>
    </row>
    <row r="13" spans="2:14" s="27" customFormat="1" ht="82.5" customHeight="1" thickBot="1" x14ac:dyDescent="0.4">
      <c r="B13" s="112"/>
      <c r="C13" s="124"/>
      <c r="D13" s="112"/>
      <c r="E13" s="33" t="s">
        <v>57</v>
      </c>
      <c r="F13" s="40">
        <v>44676</v>
      </c>
      <c r="G13" s="40">
        <v>45040</v>
      </c>
      <c r="H13" s="41">
        <f>+G13-F13</f>
        <v>364</v>
      </c>
      <c r="I13" s="42">
        <v>1113780</v>
      </c>
      <c r="J13" s="92"/>
      <c r="K13" s="45">
        <f t="shared" si="1"/>
        <v>330792.66000000003</v>
      </c>
      <c r="L13" s="73">
        <f>0.33*0.9</f>
        <v>0.29700000000000004</v>
      </c>
      <c r="M13" s="43">
        <v>150</v>
      </c>
      <c r="N13" s="116"/>
    </row>
    <row r="14" spans="2:14" s="27" customFormat="1" ht="82.5" customHeight="1" thickBot="1" x14ac:dyDescent="0.4">
      <c r="B14" s="111">
        <v>6</v>
      </c>
      <c r="C14" s="113" t="s">
        <v>58</v>
      </c>
      <c r="D14" s="111" t="s">
        <v>24</v>
      </c>
      <c r="E14" s="61" t="s">
        <v>59</v>
      </c>
      <c r="F14" s="46">
        <v>43313</v>
      </c>
      <c r="G14" s="46">
        <v>44408</v>
      </c>
      <c r="H14" s="62">
        <f t="shared" ref="H14" si="4">+G14-F14</f>
        <v>1095</v>
      </c>
      <c r="I14" s="47">
        <f>3265731.7*3</f>
        <v>9797195.1000000015</v>
      </c>
      <c r="J14" s="60"/>
      <c r="K14" s="28">
        <f t="shared" si="1"/>
        <v>6436757.1807000013</v>
      </c>
      <c r="L14" s="72">
        <f t="shared" ref="L14:L19" si="5">0.73*0.9</f>
        <v>0.65700000000000003</v>
      </c>
      <c r="M14" s="60">
        <v>178</v>
      </c>
      <c r="N14" s="115" t="s">
        <v>66</v>
      </c>
    </row>
    <row r="15" spans="2:14" s="27" customFormat="1" ht="82.5" customHeight="1" thickBot="1" x14ac:dyDescent="0.4">
      <c r="B15" s="112"/>
      <c r="C15" s="114"/>
      <c r="D15" s="112"/>
      <c r="E15" s="33" t="s">
        <v>60</v>
      </c>
      <c r="F15" s="40">
        <v>43313</v>
      </c>
      <c r="G15" s="40">
        <v>44408</v>
      </c>
      <c r="H15" s="41">
        <f>+G15-F15</f>
        <v>1095</v>
      </c>
      <c r="I15" s="42">
        <v>8599624.0299999993</v>
      </c>
      <c r="J15" s="43" t="s">
        <v>34</v>
      </c>
      <c r="K15" s="45">
        <f t="shared" si="1"/>
        <v>5649952.98771</v>
      </c>
      <c r="L15" s="73">
        <f t="shared" si="5"/>
        <v>0.65700000000000003</v>
      </c>
      <c r="M15" s="43">
        <v>177</v>
      </c>
      <c r="N15" s="116"/>
    </row>
    <row r="16" spans="2:14" s="27" customFormat="1" ht="82.5" customHeight="1" thickBot="1" x14ac:dyDescent="0.4">
      <c r="B16" s="111">
        <v>7</v>
      </c>
      <c r="C16" s="113" t="s">
        <v>58</v>
      </c>
      <c r="D16" s="111" t="s">
        <v>24</v>
      </c>
      <c r="E16" s="61" t="s">
        <v>61</v>
      </c>
      <c r="F16" s="46">
        <v>44409</v>
      </c>
      <c r="G16" s="46">
        <v>44773</v>
      </c>
      <c r="H16" s="62">
        <f t="shared" ref="H16" si="6">+G16-F16</f>
        <v>364</v>
      </c>
      <c r="I16" s="47">
        <v>3265731.7</v>
      </c>
      <c r="J16" s="60"/>
      <c r="K16" s="28">
        <f t="shared" si="1"/>
        <v>2145585.7269000001</v>
      </c>
      <c r="L16" s="72">
        <f t="shared" si="5"/>
        <v>0.65700000000000003</v>
      </c>
      <c r="M16" s="60">
        <v>223</v>
      </c>
      <c r="N16" s="115" t="s">
        <v>66</v>
      </c>
    </row>
    <row r="17" spans="2:14" s="44" customFormat="1" ht="82.5" customHeight="1" thickBot="1" x14ac:dyDescent="0.4">
      <c r="B17" s="112"/>
      <c r="C17" s="114"/>
      <c r="D17" s="112"/>
      <c r="E17" s="33" t="s">
        <v>62</v>
      </c>
      <c r="F17" s="40">
        <v>44409</v>
      </c>
      <c r="G17" s="40">
        <v>44773</v>
      </c>
      <c r="H17" s="41">
        <f>+G17-F17</f>
        <v>364</v>
      </c>
      <c r="I17" s="42">
        <v>3139101.13</v>
      </c>
      <c r="J17" s="43" t="s">
        <v>34</v>
      </c>
      <c r="K17" s="45">
        <f t="shared" si="1"/>
        <v>2062389.4424099999</v>
      </c>
      <c r="L17" s="73">
        <f t="shared" si="5"/>
        <v>0.65700000000000003</v>
      </c>
      <c r="M17" s="43">
        <v>222</v>
      </c>
      <c r="N17" s="116"/>
    </row>
    <row r="18" spans="2:14" s="27" customFormat="1" ht="61.5" customHeight="1" thickBot="1" x14ac:dyDescent="0.4">
      <c r="B18" s="111">
        <v>8</v>
      </c>
      <c r="C18" s="113" t="s">
        <v>58</v>
      </c>
      <c r="D18" s="111" t="s">
        <v>24</v>
      </c>
      <c r="E18" s="61" t="s">
        <v>67</v>
      </c>
      <c r="F18" s="46">
        <v>44774</v>
      </c>
      <c r="G18" s="46">
        <v>45138</v>
      </c>
      <c r="H18" s="62">
        <f t="shared" ref="H18" si="7">+G18-F18</f>
        <v>364</v>
      </c>
      <c r="I18" s="47">
        <v>3265731.7</v>
      </c>
      <c r="J18" s="60"/>
      <c r="K18" s="28">
        <f t="shared" ref="K18:K19" si="8">+L18*I18</f>
        <v>2145585.7269000001</v>
      </c>
      <c r="L18" s="72">
        <f t="shared" si="5"/>
        <v>0.65700000000000003</v>
      </c>
      <c r="M18" s="60">
        <v>248</v>
      </c>
      <c r="N18" s="115" t="s">
        <v>69</v>
      </c>
    </row>
    <row r="19" spans="2:14" s="27" customFormat="1" ht="61.5" customHeight="1" thickBot="1" x14ac:dyDescent="0.4">
      <c r="B19" s="112"/>
      <c r="C19" s="114"/>
      <c r="D19" s="112"/>
      <c r="E19" s="33" t="s">
        <v>68</v>
      </c>
      <c r="F19" s="40">
        <v>44774</v>
      </c>
      <c r="G19" s="40">
        <v>45138</v>
      </c>
      <c r="H19" s="41">
        <f>+G19-F19</f>
        <v>364</v>
      </c>
      <c r="I19" s="42">
        <v>3104977.03</v>
      </c>
      <c r="J19" s="43" t="s">
        <v>34</v>
      </c>
      <c r="K19" s="45">
        <f t="shared" si="8"/>
        <v>2039969.9087099999</v>
      </c>
      <c r="L19" s="73">
        <f t="shared" si="5"/>
        <v>0.65700000000000003</v>
      </c>
      <c r="M19" s="43">
        <v>247</v>
      </c>
      <c r="N19" s="116"/>
    </row>
    <row r="20" spans="2:14" ht="18.5" x14ac:dyDescent="0.35">
      <c r="B20" s="6"/>
      <c r="C20" s="6"/>
      <c r="D20" s="54"/>
      <c r="E20" s="34"/>
      <c r="F20" s="13"/>
      <c r="G20" s="13"/>
      <c r="H20" s="11"/>
      <c r="I20" s="13"/>
      <c r="J20" s="13"/>
      <c r="K20" s="31"/>
      <c r="L20" s="31"/>
      <c r="M20" s="13"/>
      <c r="N20" s="13"/>
    </row>
    <row r="21" spans="2:14" ht="19" thickBot="1" x14ac:dyDescent="0.5">
      <c r="C21" s="119" t="s">
        <v>19</v>
      </c>
      <c r="D21" s="119"/>
      <c r="E21" s="119"/>
      <c r="F21" s="48">
        <v>45261</v>
      </c>
      <c r="G21" s="75">
        <f>8*365</f>
        <v>2920</v>
      </c>
      <c r="H21" s="48">
        <f>+F21-G21</f>
        <v>42341</v>
      </c>
      <c r="I21" s="48">
        <f>+G21-H21</f>
        <v>-39421</v>
      </c>
    </row>
    <row r="22" spans="2:14" ht="15" thickBot="1" x14ac:dyDescent="0.4">
      <c r="C22" s="17" t="s">
        <v>27</v>
      </c>
      <c r="D22" s="55">
        <v>3067564</v>
      </c>
      <c r="E22" s="63"/>
      <c r="F22" s="64"/>
      <c r="G22" s="65"/>
      <c r="H22" s="66"/>
    </row>
    <row r="23" spans="2:14" ht="15" thickBot="1" x14ac:dyDescent="0.4">
      <c r="C23" s="18" t="s">
        <v>13</v>
      </c>
      <c r="D23" s="56"/>
      <c r="E23" s="120" t="s">
        <v>43</v>
      </c>
      <c r="F23" s="121"/>
      <c r="G23" s="121"/>
      <c r="H23" s="122"/>
      <c r="I23" s="14"/>
      <c r="J23" s="14"/>
      <c r="K23" s="70"/>
      <c r="L23" s="70"/>
      <c r="M23" s="14"/>
      <c r="N23" s="14"/>
    </row>
    <row r="24" spans="2:14" x14ac:dyDescent="0.35">
      <c r="C24" t="s">
        <v>28</v>
      </c>
      <c r="D24" s="57">
        <f>+K5+K7+K9+K11+K13+K15+K17+K19</f>
        <v>12592996.130969999</v>
      </c>
    </row>
    <row r="25" spans="2:14" x14ac:dyDescent="0.35">
      <c r="C25" t="s">
        <v>14</v>
      </c>
      <c r="D25" s="58">
        <f>+D24/D22</f>
        <v>4.1052105615302565</v>
      </c>
      <c r="E25" s="59"/>
      <c r="F25" s="14"/>
      <c r="H25" s="14"/>
    </row>
    <row r="27" spans="2:14" x14ac:dyDescent="0.35">
      <c r="E27" s="36" t="s">
        <v>20</v>
      </c>
      <c r="F27" s="19"/>
      <c r="G27" s="20">
        <v>100</v>
      </c>
    </row>
    <row r="28" spans="2:14" x14ac:dyDescent="0.35">
      <c r="E28" s="37"/>
      <c r="F28"/>
      <c r="G28"/>
    </row>
    <row r="29" spans="2:14" x14ac:dyDescent="0.35">
      <c r="E29" s="38" t="s">
        <v>21</v>
      </c>
      <c r="F29" s="21"/>
      <c r="G29" s="49">
        <v>2638000</v>
      </c>
    </row>
    <row r="30" spans="2:14" x14ac:dyDescent="0.35">
      <c r="E30" s="37"/>
      <c r="F30"/>
      <c r="G30"/>
    </row>
    <row r="31" spans="2:14" x14ac:dyDescent="0.35">
      <c r="E31" s="38" t="s">
        <v>22</v>
      </c>
      <c r="F31" s="22">
        <f>+G29</f>
        <v>2638000</v>
      </c>
      <c r="G31" s="50"/>
    </row>
    <row r="32" spans="2:14" x14ac:dyDescent="0.35">
      <c r="E32" s="37"/>
      <c r="F32"/>
      <c r="G32"/>
    </row>
    <row r="33" spans="5:14" x14ac:dyDescent="0.35">
      <c r="E33" s="36" t="s">
        <v>39</v>
      </c>
      <c r="F33" s="19"/>
      <c r="G33" s="20">
        <f>+F31/G29*100</f>
        <v>100</v>
      </c>
    </row>
    <row r="34" spans="5:14" ht="15" thickBot="1" x14ac:dyDescent="0.4">
      <c r="E34" s="37"/>
      <c r="F34"/>
      <c r="G34"/>
    </row>
    <row r="35" spans="5:14" ht="19" thickBot="1" x14ac:dyDescent="0.5">
      <c r="E35" s="39" t="s">
        <v>23</v>
      </c>
      <c r="F35" s="69">
        <f>+G27*0.8+G33*0.2</f>
        <v>100</v>
      </c>
      <c r="G35" s="23"/>
    </row>
    <row r="37" spans="5:14" x14ac:dyDescent="0.35">
      <c r="E37" s="37"/>
      <c r="F37"/>
      <c r="G37"/>
      <c r="H37"/>
      <c r="I37"/>
      <c r="J37"/>
      <c r="K37"/>
      <c r="L37"/>
      <c r="M37"/>
      <c r="N37"/>
    </row>
    <row r="38" spans="5:14" x14ac:dyDescent="0.35">
      <c r="E38" s="37"/>
      <c r="F38"/>
      <c r="G38"/>
      <c r="H38"/>
      <c r="I38"/>
      <c r="J38"/>
      <c r="K38"/>
      <c r="L38"/>
      <c r="M38"/>
      <c r="N38"/>
    </row>
    <row r="39" spans="5:14" x14ac:dyDescent="0.35">
      <c r="E39" s="37"/>
      <c r="F39"/>
      <c r="G39"/>
      <c r="H39"/>
      <c r="I39"/>
      <c r="J39"/>
      <c r="K39"/>
      <c r="L39"/>
      <c r="M39"/>
      <c r="N39"/>
    </row>
    <row r="40" spans="5:14" x14ac:dyDescent="0.35">
      <c r="E40" s="37"/>
      <c r="F40"/>
      <c r="G40"/>
      <c r="H40"/>
      <c r="I40"/>
      <c r="J40"/>
      <c r="K40"/>
      <c r="L40"/>
      <c r="M40"/>
      <c r="N40"/>
    </row>
    <row r="41" spans="5:14" x14ac:dyDescent="0.35">
      <c r="E41" s="37"/>
      <c r="F41"/>
      <c r="G41"/>
      <c r="H41"/>
      <c r="I41"/>
      <c r="J41"/>
      <c r="K41"/>
      <c r="L41"/>
      <c r="M41"/>
      <c r="N41"/>
    </row>
  </sheetData>
  <mergeCells count="35">
    <mergeCell ref="E23:H23"/>
    <mergeCell ref="N4:N5"/>
    <mergeCell ref="B6:B7"/>
    <mergeCell ref="C6:C7"/>
    <mergeCell ref="D6:D7"/>
    <mergeCell ref="N6:N7"/>
    <mergeCell ref="B8:B9"/>
    <mergeCell ref="C8:C9"/>
    <mergeCell ref="D8:D9"/>
    <mergeCell ref="N8:N9"/>
    <mergeCell ref="B10:B11"/>
    <mergeCell ref="C10:C11"/>
    <mergeCell ref="D10:D11"/>
    <mergeCell ref="N10:N11"/>
    <mergeCell ref="B12:B13"/>
    <mergeCell ref="C12:C13"/>
    <mergeCell ref="C21:E21"/>
    <mergeCell ref="B18:B19"/>
    <mergeCell ref="C18:C19"/>
    <mergeCell ref="D18:D19"/>
    <mergeCell ref="N18:N19"/>
    <mergeCell ref="B16:B17"/>
    <mergeCell ref="C16:C17"/>
    <mergeCell ref="D16:D17"/>
    <mergeCell ref="N16:N17"/>
    <mergeCell ref="E2:M2"/>
    <mergeCell ref="B4:B5"/>
    <mergeCell ref="C4:C5"/>
    <mergeCell ref="D4:D5"/>
    <mergeCell ref="D12:D13"/>
    <mergeCell ref="N12:N13"/>
    <mergeCell ref="B14:B15"/>
    <mergeCell ref="C14:C15"/>
    <mergeCell ref="D14:D15"/>
    <mergeCell ref="N14:N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P80"/>
  <sheetViews>
    <sheetView tabSelected="1" topLeftCell="A52" zoomScale="71" zoomScaleNormal="71" workbookViewId="0">
      <selection activeCell="E55" sqref="E55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2" bestFit="1" customWidth="1"/>
    <col min="5" max="5" width="30.453125" style="35" customWidth="1"/>
    <col min="6" max="6" width="19.36328125" style="12" bestFit="1" customWidth="1"/>
    <col min="7" max="7" width="16.36328125" style="12" bestFit="1" customWidth="1"/>
    <col min="8" max="8" width="12.26953125" style="12" customWidth="1"/>
    <col min="9" max="9" width="17.36328125" style="12" customWidth="1"/>
    <col min="10" max="10" width="15" style="12" customWidth="1"/>
    <col min="11" max="11" width="20.54296875" style="30" bestFit="1" customWidth="1"/>
    <col min="12" max="12" width="12.26953125" style="30" customWidth="1"/>
    <col min="13" max="13" width="10.7265625" style="12" customWidth="1"/>
    <col min="14" max="14" width="24.54296875" style="12" customWidth="1"/>
    <col min="15" max="15" width="13.36328125" style="51" bestFit="1" customWidth="1"/>
  </cols>
  <sheetData>
    <row r="2" spans="2:14" ht="32.15" customHeight="1" thickBot="1" x14ac:dyDescent="0.4">
      <c r="E2" s="117"/>
      <c r="F2" s="118"/>
      <c r="G2" s="118"/>
      <c r="H2" s="118"/>
      <c r="I2" s="118"/>
      <c r="J2" s="118"/>
      <c r="K2" s="118"/>
      <c r="L2" s="118"/>
      <c r="M2" s="118"/>
      <c r="N2"/>
    </row>
    <row r="3" spans="2:14" ht="15" thickBot="1" x14ac:dyDescent="0.4">
      <c r="B3" s="5" t="s">
        <v>3</v>
      </c>
      <c r="C3" s="5" t="s">
        <v>4</v>
      </c>
      <c r="D3" s="53" t="s">
        <v>5</v>
      </c>
      <c r="E3" s="32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9" t="s">
        <v>11</v>
      </c>
      <c r="L3" s="71" t="s">
        <v>35</v>
      </c>
      <c r="M3" s="74" t="s">
        <v>10</v>
      </c>
      <c r="N3" s="74" t="s">
        <v>17</v>
      </c>
    </row>
    <row r="4" spans="2:14" s="27" customFormat="1" ht="71" customHeight="1" thickBot="1" x14ac:dyDescent="0.4">
      <c r="B4" s="111">
        <v>1</v>
      </c>
      <c r="C4" s="113" t="s">
        <v>79</v>
      </c>
      <c r="D4" s="111" t="s">
        <v>24</v>
      </c>
      <c r="E4" s="61" t="s">
        <v>72</v>
      </c>
      <c r="F4" s="46">
        <v>42979</v>
      </c>
      <c r="G4" s="46">
        <v>43132</v>
      </c>
      <c r="H4" s="62">
        <f t="shared" ref="H4:H32" si="0">+G4-F4</f>
        <v>153</v>
      </c>
      <c r="I4" s="47">
        <v>635759.93000000005</v>
      </c>
      <c r="J4" s="60"/>
      <c r="K4" s="68">
        <f t="shared" ref="K4:K11" si="1">+I4*L4</f>
        <v>445031.951</v>
      </c>
      <c r="L4" s="72">
        <v>0.7</v>
      </c>
      <c r="M4" s="60">
        <v>69</v>
      </c>
      <c r="N4" s="131" t="s">
        <v>71</v>
      </c>
    </row>
    <row r="5" spans="2:14" s="27" customFormat="1" ht="71" customHeight="1" thickBot="1" x14ac:dyDescent="0.4">
      <c r="B5" s="130"/>
      <c r="C5" s="129"/>
      <c r="D5" s="130"/>
      <c r="E5" s="61" t="s">
        <v>84</v>
      </c>
      <c r="F5" s="46">
        <v>43133</v>
      </c>
      <c r="G5" s="46">
        <v>43283</v>
      </c>
      <c r="H5" s="62">
        <f t="shared" si="0"/>
        <v>150</v>
      </c>
      <c r="I5" s="47">
        <v>635759.93000000005</v>
      </c>
      <c r="J5" s="60"/>
      <c r="K5" s="68">
        <f t="shared" si="1"/>
        <v>445031.951</v>
      </c>
      <c r="L5" s="72">
        <v>0.7</v>
      </c>
      <c r="M5" s="60">
        <v>77</v>
      </c>
      <c r="N5" s="132"/>
    </row>
    <row r="6" spans="2:14" s="27" customFormat="1" ht="71" customHeight="1" thickBot="1" x14ac:dyDescent="0.4">
      <c r="B6" s="130"/>
      <c r="C6" s="129"/>
      <c r="D6" s="130"/>
      <c r="E6" s="61" t="s">
        <v>85</v>
      </c>
      <c r="F6" s="46">
        <v>43284</v>
      </c>
      <c r="G6" s="46">
        <v>43437</v>
      </c>
      <c r="H6" s="62">
        <f t="shared" si="0"/>
        <v>153</v>
      </c>
      <c r="I6" s="47">
        <v>635759.93000000005</v>
      </c>
      <c r="J6" s="60"/>
      <c r="K6" s="68">
        <f t="shared" si="1"/>
        <v>445031.951</v>
      </c>
      <c r="L6" s="72">
        <v>0.7</v>
      </c>
      <c r="M6" s="60">
        <v>82</v>
      </c>
      <c r="N6" s="132"/>
    </row>
    <row r="7" spans="2:14" s="27" customFormat="1" ht="61.5" customHeight="1" thickBot="1" x14ac:dyDescent="0.4">
      <c r="B7" s="112"/>
      <c r="C7" s="114"/>
      <c r="D7" s="112"/>
      <c r="E7" s="33" t="s">
        <v>70</v>
      </c>
      <c r="F7" s="40">
        <v>42979</v>
      </c>
      <c r="G7" s="40">
        <v>43437</v>
      </c>
      <c r="H7" s="41">
        <f t="shared" si="0"/>
        <v>458</v>
      </c>
      <c r="I7" s="77">
        <v>1907279.79</v>
      </c>
      <c r="J7" s="45" t="s">
        <v>34</v>
      </c>
      <c r="K7" s="45">
        <f t="shared" si="1"/>
        <v>1335095.8529999999</v>
      </c>
      <c r="L7" s="73">
        <v>0.7</v>
      </c>
      <c r="M7" s="43">
        <v>68</v>
      </c>
      <c r="N7" s="133"/>
    </row>
    <row r="8" spans="2:14" s="27" customFormat="1" ht="61.5" customHeight="1" thickBot="1" x14ac:dyDescent="0.4">
      <c r="B8" s="111">
        <v>2</v>
      </c>
      <c r="C8" s="113" t="s">
        <v>73</v>
      </c>
      <c r="D8" s="111" t="s">
        <v>24</v>
      </c>
      <c r="E8" s="61" t="s">
        <v>75</v>
      </c>
      <c r="F8" s="93">
        <v>42284</v>
      </c>
      <c r="G8" s="46">
        <v>42649</v>
      </c>
      <c r="H8" s="62">
        <f t="shared" si="0"/>
        <v>365</v>
      </c>
      <c r="I8" s="47">
        <v>862513.92</v>
      </c>
      <c r="J8" s="60"/>
      <c r="K8" s="82">
        <f>I8*L8</f>
        <v>603759.74399999995</v>
      </c>
      <c r="L8" s="72">
        <v>0.7</v>
      </c>
      <c r="M8" s="60">
        <v>85</v>
      </c>
      <c r="N8" s="131" t="s">
        <v>151</v>
      </c>
    </row>
    <row r="9" spans="2:14" s="27" customFormat="1" ht="61.5" customHeight="1" thickBot="1" x14ac:dyDescent="0.4">
      <c r="B9" s="130"/>
      <c r="C9" s="129"/>
      <c r="D9" s="130"/>
      <c r="E9" s="61" t="s">
        <v>76</v>
      </c>
      <c r="F9" s="46">
        <v>42650</v>
      </c>
      <c r="G9" s="46">
        <v>42831</v>
      </c>
      <c r="H9" s="62">
        <f t="shared" si="0"/>
        <v>181</v>
      </c>
      <c r="I9" s="47">
        <v>431256.96</v>
      </c>
      <c r="J9" s="60"/>
      <c r="K9" s="68">
        <f t="shared" si="1"/>
        <v>301879.87199999997</v>
      </c>
      <c r="L9" s="72">
        <v>0.7</v>
      </c>
      <c r="M9" s="60">
        <v>96</v>
      </c>
      <c r="N9" s="132"/>
    </row>
    <row r="10" spans="2:14" s="27" customFormat="1" ht="61.5" customHeight="1" thickBot="1" x14ac:dyDescent="0.4">
      <c r="B10" s="130"/>
      <c r="C10" s="129"/>
      <c r="D10" s="130"/>
      <c r="E10" s="61" t="s">
        <v>77</v>
      </c>
      <c r="F10" s="46">
        <v>42832</v>
      </c>
      <c r="G10" s="46">
        <v>43075</v>
      </c>
      <c r="H10" s="62">
        <f t="shared" si="0"/>
        <v>243</v>
      </c>
      <c r="I10" s="47">
        <v>575009.28000000003</v>
      </c>
      <c r="J10" s="60"/>
      <c r="K10" s="68">
        <f t="shared" si="1"/>
        <v>402506.49599999998</v>
      </c>
      <c r="L10" s="72">
        <v>0.7</v>
      </c>
      <c r="M10" s="60">
        <v>97</v>
      </c>
      <c r="N10" s="132"/>
    </row>
    <row r="11" spans="2:14" s="27" customFormat="1" ht="61.5" customHeight="1" thickBot="1" x14ac:dyDescent="0.4">
      <c r="B11" s="130"/>
      <c r="C11" s="129"/>
      <c r="D11" s="130"/>
      <c r="E11" s="61" t="s">
        <v>78</v>
      </c>
      <c r="F11" s="46">
        <v>43076</v>
      </c>
      <c r="G11" s="46">
        <v>43196</v>
      </c>
      <c r="H11" s="62">
        <f t="shared" si="0"/>
        <v>120</v>
      </c>
      <c r="I11" s="47">
        <v>287504.64000000001</v>
      </c>
      <c r="J11" s="60"/>
      <c r="K11" s="68">
        <f t="shared" si="1"/>
        <v>201253.24799999999</v>
      </c>
      <c r="L11" s="72">
        <v>0.7</v>
      </c>
      <c r="M11" s="60">
        <v>99</v>
      </c>
      <c r="N11" s="132"/>
    </row>
    <row r="12" spans="2:14" s="27" customFormat="1" ht="61.5" customHeight="1" thickBot="1" x14ac:dyDescent="0.4">
      <c r="B12" s="112"/>
      <c r="C12" s="114"/>
      <c r="D12" s="112"/>
      <c r="E12" s="33" t="s">
        <v>74</v>
      </c>
      <c r="F12" s="40">
        <v>42284</v>
      </c>
      <c r="G12" s="40">
        <v>43196</v>
      </c>
      <c r="H12" s="41">
        <f t="shared" si="0"/>
        <v>912</v>
      </c>
      <c r="I12" s="77">
        <v>2156284.7999999998</v>
      </c>
      <c r="J12" s="45" t="s">
        <v>34</v>
      </c>
      <c r="K12" s="45">
        <f>I12*L12-(143752.32*0.7)</f>
        <v>1408772.7359999998</v>
      </c>
      <c r="L12" s="73">
        <v>0.7</v>
      </c>
      <c r="M12" s="43">
        <v>84</v>
      </c>
      <c r="N12" s="133"/>
    </row>
    <row r="13" spans="2:14" s="27" customFormat="1" ht="61.5" customHeight="1" thickBot="1" x14ac:dyDescent="0.4">
      <c r="B13" s="111">
        <v>3</v>
      </c>
      <c r="C13" s="113" t="s">
        <v>82</v>
      </c>
      <c r="D13" s="111" t="s">
        <v>24</v>
      </c>
      <c r="E13" s="61" t="s">
        <v>81</v>
      </c>
      <c r="F13" s="93">
        <v>42284</v>
      </c>
      <c r="G13" s="46">
        <v>42649</v>
      </c>
      <c r="H13" s="62">
        <f t="shared" si="0"/>
        <v>365</v>
      </c>
      <c r="I13" s="47">
        <v>616054.52</v>
      </c>
      <c r="J13" s="60"/>
      <c r="K13" s="68">
        <f>+I13*L13</f>
        <v>431238.16399999999</v>
      </c>
      <c r="L13" s="72">
        <v>0.7</v>
      </c>
      <c r="M13" s="60">
        <v>103</v>
      </c>
      <c r="N13" s="131" t="s">
        <v>151</v>
      </c>
    </row>
    <row r="14" spans="2:14" s="27" customFormat="1" ht="61.5" customHeight="1" thickBot="1" x14ac:dyDescent="0.4">
      <c r="B14" s="130"/>
      <c r="C14" s="129"/>
      <c r="D14" s="130"/>
      <c r="E14" s="61" t="s">
        <v>83</v>
      </c>
      <c r="F14" s="46">
        <v>42650</v>
      </c>
      <c r="G14" s="46">
        <v>43014</v>
      </c>
      <c r="H14" s="62">
        <f t="shared" si="0"/>
        <v>364</v>
      </c>
      <c r="I14" s="47">
        <v>616054.52</v>
      </c>
      <c r="J14" s="60"/>
      <c r="K14" s="68">
        <f>+I14*L14</f>
        <v>431238.16399999999</v>
      </c>
      <c r="L14" s="72">
        <v>0.7</v>
      </c>
      <c r="M14" s="60">
        <v>113</v>
      </c>
      <c r="N14" s="132"/>
    </row>
    <row r="15" spans="2:14" s="27" customFormat="1" ht="61.5" customHeight="1" thickBot="1" x14ac:dyDescent="0.4">
      <c r="B15" s="112"/>
      <c r="C15" s="114"/>
      <c r="D15" s="112"/>
      <c r="E15" s="33" t="s">
        <v>80</v>
      </c>
      <c r="F15" s="40">
        <v>42284</v>
      </c>
      <c r="G15" s="40">
        <v>42831</v>
      </c>
      <c r="H15" s="41">
        <f t="shared" si="0"/>
        <v>547</v>
      </c>
      <c r="I15" s="42">
        <v>843638.52</v>
      </c>
      <c r="J15" s="45"/>
      <c r="K15" s="45">
        <f>I15*L15-(102265.75*0.7)</f>
        <v>518960.9389999999</v>
      </c>
      <c r="L15" s="73">
        <v>0.7</v>
      </c>
      <c r="M15" s="43">
        <v>102</v>
      </c>
      <c r="N15" s="133"/>
    </row>
    <row r="16" spans="2:14" s="27" customFormat="1" ht="61.5" customHeight="1" thickBot="1" x14ac:dyDescent="0.4">
      <c r="B16" s="111">
        <v>4</v>
      </c>
      <c r="C16" s="113" t="s">
        <v>86</v>
      </c>
      <c r="D16" s="111" t="s">
        <v>24</v>
      </c>
      <c r="E16" s="61" t="s">
        <v>88</v>
      </c>
      <c r="F16" s="93">
        <v>42293</v>
      </c>
      <c r="G16" s="46">
        <v>42658</v>
      </c>
      <c r="H16" s="62">
        <f t="shared" si="0"/>
        <v>365</v>
      </c>
      <c r="I16" s="47">
        <v>772592.02</v>
      </c>
      <c r="J16" s="60"/>
      <c r="K16" s="68">
        <f>+I16*L16</f>
        <v>540814.41399999999</v>
      </c>
      <c r="L16" s="72">
        <v>0.7</v>
      </c>
      <c r="M16" s="60">
        <v>119</v>
      </c>
      <c r="N16" s="131" t="s">
        <v>151</v>
      </c>
    </row>
    <row r="17" spans="2:16" s="27" customFormat="1" ht="61.5" customHeight="1" thickBot="1" x14ac:dyDescent="0.4">
      <c r="B17" s="130"/>
      <c r="C17" s="129"/>
      <c r="D17" s="130"/>
      <c r="E17" s="61" t="s">
        <v>89</v>
      </c>
      <c r="F17" s="46">
        <v>42659</v>
      </c>
      <c r="G17" s="46">
        <v>43023</v>
      </c>
      <c r="H17" s="62">
        <f t="shared" si="0"/>
        <v>364</v>
      </c>
      <c r="I17" s="47">
        <v>772592.02</v>
      </c>
      <c r="J17" s="60"/>
      <c r="K17" s="68">
        <f>+I17*L17</f>
        <v>540814.41399999999</v>
      </c>
      <c r="L17" s="72">
        <v>0.7</v>
      </c>
      <c r="M17" s="60">
        <v>130</v>
      </c>
      <c r="N17" s="132"/>
    </row>
    <row r="18" spans="2:16" s="27" customFormat="1" ht="61.5" customHeight="1" thickBot="1" x14ac:dyDescent="0.4">
      <c r="B18" s="130"/>
      <c r="C18" s="129"/>
      <c r="D18" s="130"/>
      <c r="E18" s="61" t="s">
        <v>90</v>
      </c>
      <c r="F18" s="46">
        <v>43024</v>
      </c>
      <c r="G18" s="46">
        <v>43388</v>
      </c>
      <c r="H18" s="62">
        <f t="shared" si="0"/>
        <v>364</v>
      </c>
      <c r="I18" s="47">
        <v>772592.02</v>
      </c>
      <c r="J18" s="60"/>
      <c r="K18" s="68">
        <f>+I18*L18</f>
        <v>540814.41399999999</v>
      </c>
      <c r="L18" s="72">
        <v>0.7</v>
      </c>
      <c r="M18" s="60">
        <v>133</v>
      </c>
      <c r="N18" s="132"/>
    </row>
    <row r="19" spans="2:16" s="27" customFormat="1" ht="61.5" customHeight="1" thickBot="1" x14ac:dyDescent="0.4">
      <c r="B19" s="112"/>
      <c r="C19" s="114"/>
      <c r="D19" s="112"/>
      <c r="E19" s="33" t="s">
        <v>87</v>
      </c>
      <c r="F19" s="40">
        <v>42293</v>
      </c>
      <c r="G19" s="40">
        <v>43388</v>
      </c>
      <c r="H19" s="41">
        <f t="shared" si="0"/>
        <v>1095</v>
      </c>
      <c r="I19" s="42">
        <v>2231483.6</v>
      </c>
      <c r="J19" s="45"/>
      <c r="K19" s="45">
        <f>I19*L19-(128765.33*0.7)</f>
        <v>1471902.7890000001</v>
      </c>
      <c r="L19" s="73">
        <v>0.7</v>
      </c>
      <c r="M19" s="43">
        <v>118</v>
      </c>
      <c r="N19" s="133"/>
    </row>
    <row r="20" spans="2:16" s="27" customFormat="1" ht="61.5" customHeight="1" thickBot="1" x14ac:dyDescent="0.4">
      <c r="B20" s="111">
        <v>5</v>
      </c>
      <c r="C20" s="113" t="s">
        <v>91</v>
      </c>
      <c r="D20" s="111" t="s">
        <v>24</v>
      </c>
      <c r="E20" s="61" t="s">
        <v>93</v>
      </c>
      <c r="F20" s="46">
        <v>42697</v>
      </c>
      <c r="G20" s="46">
        <v>42758</v>
      </c>
      <c r="H20" s="62">
        <f t="shared" si="0"/>
        <v>61</v>
      </c>
      <c r="I20" s="47">
        <v>177918.98</v>
      </c>
      <c r="J20" s="60"/>
      <c r="K20" s="68">
        <f>+I20*L20</f>
        <v>124543.28599999999</v>
      </c>
      <c r="L20" s="72">
        <v>0.7</v>
      </c>
      <c r="M20" s="60">
        <v>139</v>
      </c>
      <c r="N20" s="131" t="s">
        <v>125</v>
      </c>
    </row>
    <row r="21" spans="2:16" s="27" customFormat="1" ht="61.5" customHeight="1" thickBot="1" x14ac:dyDescent="0.4">
      <c r="B21" s="112"/>
      <c r="C21" s="114"/>
      <c r="D21" s="112"/>
      <c r="E21" s="33" t="s">
        <v>92</v>
      </c>
      <c r="F21" s="40">
        <v>42697</v>
      </c>
      <c r="G21" s="40">
        <v>42758</v>
      </c>
      <c r="H21" s="41">
        <f t="shared" si="0"/>
        <v>61</v>
      </c>
      <c r="I21" s="42">
        <v>177918.98</v>
      </c>
      <c r="J21" s="45"/>
      <c r="K21" s="45">
        <f>(I21*L21)</f>
        <v>124543.28599999999</v>
      </c>
      <c r="L21" s="73">
        <v>0.7</v>
      </c>
      <c r="M21" s="43">
        <v>138</v>
      </c>
      <c r="N21" s="133"/>
    </row>
    <row r="22" spans="2:16" s="27" customFormat="1" ht="61.5" customHeight="1" thickBot="1" x14ac:dyDescent="0.4">
      <c r="B22" s="111">
        <v>6</v>
      </c>
      <c r="C22" s="113" t="s">
        <v>95</v>
      </c>
      <c r="D22" s="111" t="s">
        <v>24</v>
      </c>
      <c r="E22" s="61" t="s">
        <v>97</v>
      </c>
      <c r="F22" s="46">
        <v>42690</v>
      </c>
      <c r="G22" s="46">
        <v>43054</v>
      </c>
      <c r="H22" s="67">
        <f t="shared" si="0"/>
        <v>364</v>
      </c>
      <c r="I22" s="47">
        <v>3658961</v>
      </c>
      <c r="J22" s="60"/>
      <c r="K22" s="68">
        <f>+I22*L22</f>
        <v>2561272.6999999997</v>
      </c>
      <c r="L22" s="72">
        <v>0.7</v>
      </c>
      <c r="M22" s="60">
        <v>149</v>
      </c>
      <c r="N22" s="131" t="s">
        <v>94</v>
      </c>
    </row>
    <row r="23" spans="2:16" s="27" customFormat="1" ht="61.5" customHeight="1" thickBot="1" x14ac:dyDescent="0.4">
      <c r="B23" s="112"/>
      <c r="C23" s="114"/>
      <c r="D23" s="112"/>
      <c r="E23" s="33" t="s">
        <v>96</v>
      </c>
      <c r="F23" s="40">
        <v>42690</v>
      </c>
      <c r="G23" s="40">
        <v>43054</v>
      </c>
      <c r="H23" s="41">
        <f t="shared" si="0"/>
        <v>364</v>
      </c>
      <c r="I23" s="42">
        <v>3418042.81</v>
      </c>
      <c r="J23" s="45"/>
      <c r="K23" s="45">
        <f>(I23*L23)</f>
        <v>2392629.9669999997</v>
      </c>
      <c r="L23" s="73">
        <v>0.7</v>
      </c>
      <c r="M23" s="43">
        <v>148</v>
      </c>
      <c r="N23" s="133"/>
    </row>
    <row r="24" spans="2:16" s="27" customFormat="1" ht="61.5" customHeight="1" thickBot="1" x14ac:dyDescent="0.4">
      <c r="B24" s="111">
        <v>7</v>
      </c>
      <c r="C24" s="113" t="s">
        <v>91</v>
      </c>
      <c r="D24" s="111" t="s">
        <v>24</v>
      </c>
      <c r="E24" s="61" t="s">
        <v>99</v>
      </c>
      <c r="F24" s="46">
        <v>42556</v>
      </c>
      <c r="G24" s="46">
        <v>42647</v>
      </c>
      <c r="H24" s="67">
        <f t="shared" si="0"/>
        <v>91</v>
      </c>
      <c r="I24" s="47">
        <v>257205.78</v>
      </c>
      <c r="J24" s="60"/>
      <c r="K24" s="68">
        <f>+I24*L24</f>
        <v>180044.046</v>
      </c>
      <c r="L24" s="72">
        <v>0.7</v>
      </c>
      <c r="M24" s="60">
        <v>161</v>
      </c>
      <c r="N24" s="131" t="s">
        <v>94</v>
      </c>
    </row>
    <row r="25" spans="2:16" s="27" customFormat="1" ht="61.5" customHeight="1" thickBot="1" x14ac:dyDescent="0.4">
      <c r="B25" s="112"/>
      <c r="C25" s="114"/>
      <c r="D25" s="112"/>
      <c r="E25" s="33" t="s">
        <v>98</v>
      </c>
      <c r="F25" s="40">
        <v>42556</v>
      </c>
      <c r="G25" s="40">
        <v>42647</v>
      </c>
      <c r="H25" s="41">
        <f t="shared" si="0"/>
        <v>91</v>
      </c>
      <c r="I25" s="42">
        <v>257205.78</v>
      </c>
      <c r="J25" s="45"/>
      <c r="K25" s="45">
        <f>(I25*L25)</f>
        <v>180044.046</v>
      </c>
      <c r="L25" s="73">
        <v>0.7</v>
      </c>
      <c r="M25" s="43">
        <v>160</v>
      </c>
      <c r="N25" s="133"/>
    </row>
    <row r="26" spans="2:16" s="27" customFormat="1" ht="61.5" customHeight="1" thickBot="1" x14ac:dyDescent="0.4">
      <c r="B26" s="134">
        <v>8</v>
      </c>
      <c r="C26" s="138" t="s">
        <v>103</v>
      </c>
      <c r="D26" s="136" t="s">
        <v>24</v>
      </c>
      <c r="E26" s="78" t="s">
        <v>104</v>
      </c>
      <c r="F26" s="79">
        <v>42632</v>
      </c>
      <c r="G26" s="79">
        <v>42812</v>
      </c>
      <c r="H26" s="80">
        <f>+G26-F26</f>
        <v>180</v>
      </c>
      <c r="I26" s="81">
        <v>305700</v>
      </c>
      <c r="J26" s="82"/>
      <c r="K26" s="68">
        <f>+I26*L26</f>
        <v>213990</v>
      </c>
      <c r="L26" s="83">
        <v>0.7</v>
      </c>
      <c r="M26" s="84">
        <v>170</v>
      </c>
      <c r="N26" s="131" t="s">
        <v>125</v>
      </c>
      <c r="P26" s="44"/>
    </row>
    <row r="27" spans="2:16" s="27" customFormat="1" ht="61.5" customHeight="1" thickBot="1" x14ac:dyDescent="0.4">
      <c r="B27" s="135"/>
      <c r="C27" s="139"/>
      <c r="D27" s="137"/>
      <c r="E27" s="76" t="s">
        <v>105</v>
      </c>
      <c r="F27" s="40">
        <v>42632</v>
      </c>
      <c r="G27" s="40">
        <v>42812</v>
      </c>
      <c r="H27" s="41">
        <f>+G27-F27</f>
        <v>180</v>
      </c>
      <c r="I27" s="42">
        <v>288449.78999999998</v>
      </c>
      <c r="J27" s="45" t="s">
        <v>34</v>
      </c>
      <c r="K27" s="45">
        <f>(I27*L27)</f>
        <v>201914.85299999997</v>
      </c>
      <c r="L27" s="73">
        <v>0.7</v>
      </c>
      <c r="M27" s="43">
        <v>169</v>
      </c>
      <c r="N27" s="133"/>
      <c r="P27" s="44"/>
    </row>
    <row r="28" spans="2:16" s="27" customFormat="1" ht="61.5" customHeight="1" thickBot="1" x14ac:dyDescent="0.4">
      <c r="B28" s="134">
        <v>9</v>
      </c>
      <c r="C28" s="138" t="s">
        <v>103</v>
      </c>
      <c r="D28" s="136" t="s">
        <v>24</v>
      </c>
      <c r="E28" s="78" t="s">
        <v>107</v>
      </c>
      <c r="F28" s="79">
        <v>42632</v>
      </c>
      <c r="G28" s="79">
        <v>42812</v>
      </c>
      <c r="H28" s="80">
        <f>+G28-F28</f>
        <v>180</v>
      </c>
      <c r="I28" s="81">
        <v>599400</v>
      </c>
      <c r="J28" s="82"/>
      <c r="K28" s="68">
        <f>+I28*L28</f>
        <v>419580</v>
      </c>
      <c r="L28" s="83">
        <v>0.7</v>
      </c>
      <c r="M28" s="84">
        <v>181</v>
      </c>
      <c r="N28" s="131" t="s">
        <v>125</v>
      </c>
      <c r="P28" s="44"/>
    </row>
    <row r="29" spans="2:16" s="27" customFormat="1" ht="61.5" customHeight="1" thickBot="1" x14ac:dyDescent="0.4">
      <c r="B29" s="135"/>
      <c r="C29" s="139"/>
      <c r="D29" s="137"/>
      <c r="E29" s="76" t="s">
        <v>106</v>
      </c>
      <c r="F29" s="40">
        <v>42632</v>
      </c>
      <c r="G29" s="40">
        <v>42812</v>
      </c>
      <c r="H29" s="41">
        <f>+G29-F29</f>
        <v>180</v>
      </c>
      <c r="I29" s="42">
        <v>579753</v>
      </c>
      <c r="J29" s="45" t="s">
        <v>34</v>
      </c>
      <c r="K29" s="45">
        <f>(I29*L29)</f>
        <v>405827.1</v>
      </c>
      <c r="L29" s="73">
        <v>0.7</v>
      </c>
      <c r="M29" s="43">
        <v>180</v>
      </c>
      <c r="N29" s="133"/>
      <c r="P29" s="44"/>
    </row>
    <row r="30" spans="2:16" s="27" customFormat="1" ht="61.5" customHeight="1" thickBot="1" x14ac:dyDescent="0.4">
      <c r="B30" s="111">
        <v>10</v>
      </c>
      <c r="C30" s="113" t="s">
        <v>100</v>
      </c>
      <c r="D30" s="111" t="s">
        <v>24</v>
      </c>
      <c r="E30" s="61" t="s">
        <v>37</v>
      </c>
      <c r="F30" s="46">
        <v>42661</v>
      </c>
      <c r="G30" s="46">
        <v>43025</v>
      </c>
      <c r="H30" s="67">
        <f t="shared" si="0"/>
        <v>364</v>
      </c>
      <c r="I30" s="47">
        <v>4377254</v>
      </c>
      <c r="J30" s="60"/>
      <c r="K30" s="68">
        <f>+I30*L30</f>
        <v>262635.24</v>
      </c>
      <c r="L30" s="83">
        <f t="shared" ref="L30:L37" si="2">0.3*0.2</f>
        <v>0.06</v>
      </c>
      <c r="M30" s="60">
        <v>192</v>
      </c>
      <c r="N30" s="131" t="s">
        <v>108</v>
      </c>
    </row>
    <row r="31" spans="2:16" s="27" customFormat="1" ht="61.5" customHeight="1" thickBot="1" x14ac:dyDescent="0.4">
      <c r="B31" s="130"/>
      <c r="C31" s="129"/>
      <c r="D31" s="130"/>
      <c r="E31" s="61" t="s">
        <v>38</v>
      </c>
      <c r="F31" s="46">
        <v>43026</v>
      </c>
      <c r="G31" s="46">
        <v>43148</v>
      </c>
      <c r="H31" s="67">
        <f t="shared" si="0"/>
        <v>122</v>
      </c>
      <c r="I31" s="47">
        <v>1459084.67</v>
      </c>
      <c r="J31" s="60"/>
      <c r="K31" s="68">
        <f>+I31*L31</f>
        <v>87545.080199999997</v>
      </c>
      <c r="L31" s="83">
        <f t="shared" si="2"/>
        <v>0.06</v>
      </c>
      <c r="M31" s="60">
        <v>204</v>
      </c>
      <c r="N31" s="132"/>
    </row>
    <row r="32" spans="2:16" s="27" customFormat="1" ht="61.5" customHeight="1" thickBot="1" x14ac:dyDescent="0.4">
      <c r="B32" s="112"/>
      <c r="C32" s="114"/>
      <c r="D32" s="112"/>
      <c r="E32" s="33" t="s">
        <v>36</v>
      </c>
      <c r="F32" s="40">
        <v>42661</v>
      </c>
      <c r="G32" s="40">
        <v>43148</v>
      </c>
      <c r="H32" s="41">
        <f t="shared" si="0"/>
        <v>487</v>
      </c>
      <c r="I32" s="42">
        <v>5836338.6699999999</v>
      </c>
      <c r="J32" s="45"/>
      <c r="K32" s="45">
        <f>(I32*L32)</f>
        <v>350180.32019999996</v>
      </c>
      <c r="L32" s="73">
        <f t="shared" si="2"/>
        <v>0.06</v>
      </c>
      <c r="M32" s="43">
        <v>191</v>
      </c>
      <c r="N32" s="133"/>
    </row>
    <row r="33" spans="2:14" s="27" customFormat="1" ht="73" customHeight="1" thickBot="1" x14ac:dyDescent="0.4">
      <c r="B33" s="134">
        <v>11</v>
      </c>
      <c r="C33" s="123" t="s">
        <v>109</v>
      </c>
      <c r="D33" s="136" t="s">
        <v>24</v>
      </c>
      <c r="E33" s="61" t="s">
        <v>112</v>
      </c>
      <c r="F33" s="46">
        <v>44767</v>
      </c>
      <c r="G33" s="46">
        <v>45131</v>
      </c>
      <c r="H33" s="62">
        <f t="shared" ref="H33:H34" si="3">+G33-F33</f>
        <v>364</v>
      </c>
      <c r="I33" s="47">
        <v>1080600.48</v>
      </c>
      <c r="J33" s="60"/>
      <c r="K33" s="28">
        <f>I33*L33</f>
        <v>64836.0288</v>
      </c>
      <c r="L33" s="72">
        <f t="shared" si="2"/>
        <v>0.06</v>
      </c>
      <c r="M33" s="60">
        <v>216</v>
      </c>
      <c r="N33" s="131" t="s">
        <v>111</v>
      </c>
    </row>
    <row r="34" spans="2:14" s="27" customFormat="1" ht="82.5" customHeight="1" thickBot="1" x14ac:dyDescent="0.4">
      <c r="B34" s="135"/>
      <c r="C34" s="124"/>
      <c r="D34" s="137"/>
      <c r="E34" s="33" t="s">
        <v>110</v>
      </c>
      <c r="F34" s="40">
        <v>44767</v>
      </c>
      <c r="G34" s="40">
        <v>45131</v>
      </c>
      <c r="H34" s="41">
        <f t="shared" si="3"/>
        <v>364</v>
      </c>
      <c r="I34" s="42">
        <v>1080600.48</v>
      </c>
      <c r="J34" s="43" t="s">
        <v>34</v>
      </c>
      <c r="K34" s="45">
        <f>(I34*L34)</f>
        <v>64836.0288</v>
      </c>
      <c r="L34" s="73">
        <f t="shared" si="2"/>
        <v>0.06</v>
      </c>
      <c r="M34" s="43">
        <v>215</v>
      </c>
      <c r="N34" s="133"/>
    </row>
    <row r="35" spans="2:14" s="27" customFormat="1" ht="73" customHeight="1" thickBot="1" x14ac:dyDescent="0.4">
      <c r="B35" s="134">
        <v>12</v>
      </c>
      <c r="C35" s="123" t="s">
        <v>113</v>
      </c>
      <c r="D35" s="136" t="s">
        <v>24</v>
      </c>
      <c r="E35" s="61" t="s">
        <v>115</v>
      </c>
      <c r="F35" s="46">
        <v>44385</v>
      </c>
      <c r="G35" s="46">
        <v>44749</v>
      </c>
      <c r="H35" s="62">
        <f t="shared" ref="H35" si="4">+G35-F35</f>
        <v>364</v>
      </c>
      <c r="I35" s="47">
        <v>1080600.48</v>
      </c>
      <c r="J35" s="60"/>
      <c r="K35" s="28">
        <f>I35*L35</f>
        <v>64836.0288</v>
      </c>
      <c r="L35" s="72">
        <f t="shared" si="2"/>
        <v>0.06</v>
      </c>
      <c r="M35" s="60">
        <v>236</v>
      </c>
      <c r="N35" s="131" t="s">
        <v>116</v>
      </c>
    </row>
    <row r="36" spans="2:14" s="27" customFormat="1" ht="82.5" customHeight="1" thickBot="1" x14ac:dyDescent="0.4">
      <c r="B36" s="135"/>
      <c r="C36" s="124"/>
      <c r="D36" s="137"/>
      <c r="E36" s="33" t="s">
        <v>114</v>
      </c>
      <c r="F36" s="40">
        <v>44385</v>
      </c>
      <c r="G36" s="40">
        <v>44749</v>
      </c>
      <c r="H36" s="41">
        <f t="shared" ref="H36:H42" si="5">+G36-F36</f>
        <v>364</v>
      </c>
      <c r="I36" s="42">
        <v>1080429.93</v>
      </c>
      <c r="J36" s="43" t="s">
        <v>34</v>
      </c>
      <c r="K36" s="45">
        <f>(I36*L36)</f>
        <v>64825.795799999993</v>
      </c>
      <c r="L36" s="73">
        <f t="shared" si="2"/>
        <v>0.06</v>
      </c>
      <c r="M36" s="43">
        <v>235</v>
      </c>
      <c r="N36" s="133"/>
    </row>
    <row r="37" spans="2:14" s="27" customFormat="1" ht="73" customHeight="1" thickBot="1" x14ac:dyDescent="0.4">
      <c r="B37" s="126">
        <v>13</v>
      </c>
      <c r="C37" s="113" t="s">
        <v>117</v>
      </c>
      <c r="D37" s="111" t="s">
        <v>24</v>
      </c>
      <c r="E37" s="61" t="s">
        <v>118</v>
      </c>
      <c r="F37" s="46">
        <v>43285</v>
      </c>
      <c r="G37" s="46">
        <v>43649</v>
      </c>
      <c r="H37" s="62">
        <f t="shared" si="5"/>
        <v>364</v>
      </c>
      <c r="I37" s="47">
        <v>1080600.48</v>
      </c>
      <c r="J37" s="60"/>
      <c r="K37" s="28">
        <f>I37*L37</f>
        <v>64836.0288</v>
      </c>
      <c r="L37" s="72">
        <f t="shared" si="2"/>
        <v>0.06</v>
      </c>
      <c r="M37" s="60">
        <v>257</v>
      </c>
      <c r="N37" s="131" t="s">
        <v>119</v>
      </c>
    </row>
    <row r="38" spans="2:14" s="27" customFormat="1" ht="73" customHeight="1" thickBot="1" x14ac:dyDescent="0.4">
      <c r="B38" s="128"/>
      <c r="C38" s="129"/>
      <c r="D38" s="130"/>
      <c r="E38" s="61" t="s">
        <v>121</v>
      </c>
      <c r="F38" s="46">
        <v>44016</v>
      </c>
      <c r="G38" s="46">
        <v>44380</v>
      </c>
      <c r="H38" s="62">
        <f t="shared" ref="H38:H40" si="6">+G38-F38</f>
        <v>364</v>
      </c>
      <c r="I38" s="47">
        <v>1080600.48</v>
      </c>
      <c r="J38" s="60"/>
      <c r="K38" s="28">
        <f>I38*L38</f>
        <v>64836.0288</v>
      </c>
      <c r="L38" s="72">
        <f t="shared" ref="L38:L43" si="7">0.3*0.2</f>
        <v>0.06</v>
      </c>
      <c r="M38" s="60">
        <v>278</v>
      </c>
      <c r="N38" s="132"/>
    </row>
    <row r="39" spans="2:14" s="27" customFormat="1" ht="82.5" customHeight="1" thickBot="1" x14ac:dyDescent="0.4">
      <c r="B39" s="127"/>
      <c r="C39" s="114"/>
      <c r="D39" s="112"/>
      <c r="E39" s="33" t="s">
        <v>120</v>
      </c>
      <c r="F39" s="40">
        <v>43285</v>
      </c>
      <c r="G39" s="40">
        <v>44380</v>
      </c>
      <c r="H39" s="41">
        <f t="shared" si="5"/>
        <v>1095</v>
      </c>
      <c r="I39" s="42">
        <v>3241801.44</v>
      </c>
      <c r="J39" s="43" t="s">
        <v>34</v>
      </c>
      <c r="K39" s="45">
        <f>(I39*L39)</f>
        <v>194508.0864</v>
      </c>
      <c r="L39" s="73">
        <f t="shared" si="7"/>
        <v>0.06</v>
      </c>
      <c r="M39" s="43">
        <v>256</v>
      </c>
      <c r="N39" s="133"/>
    </row>
    <row r="40" spans="2:14" s="27" customFormat="1" ht="82.5" customHeight="1" thickBot="1" x14ac:dyDescent="0.4">
      <c r="B40" s="126">
        <v>14</v>
      </c>
      <c r="C40" s="113" t="s">
        <v>128</v>
      </c>
      <c r="D40" s="111" t="s">
        <v>24</v>
      </c>
      <c r="E40" s="61" t="s">
        <v>124</v>
      </c>
      <c r="F40" s="79">
        <v>44768</v>
      </c>
      <c r="G40" s="79">
        <v>45132</v>
      </c>
      <c r="H40" s="62">
        <f t="shared" si="6"/>
        <v>364</v>
      </c>
      <c r="I40" s="47">
        <v>1724358.91</v>
      </c>
      <c r="J40" s="60"/>
      <c r="K40" s="28">
        <f>L40*I40</f>
        <v>103461.53459999998</v>
      </c>
      <c r="L40" s="72">
        <f t="shared" si="7"/>
        <v>0.06</v>
      </c>
      <c r="M40" s="60">
        <v>295</v>
      </c>
      <c r="N40" s="115" t="s">
        <v>123</v>
      </c>
    </row>
    <row r="41" spans="2:14" s="27" customFormat="1" ht="82.5" customHeight="1" thickBot="1" x14ac:dyDescent="0.4">
      <c r="B41" s="127"/>
      <c r="C41" s="114"/>
      <c r="D41" s="112"/>
      <c r="E41" s="33" t="s">
        <v>122</v>
      </c>
      <c r="F41" s="40">
        <v>44768</v>
      </c>
      <c r="G41" s="40">
        <v>45132</v>
      </c>
      <c r="H41" s="41">
        <f t="shared" si="5"/>
        <v>364</v>
      </c>
      <c r="I41" s="42">
        <v>1724358.91</v>
      </c>
      <c r="J41" s="43" t="s">
        <v>34</v>
      </c>
      <c r="K41" s="45">
        <f>L41*I41</f>
        <v>103461.53459999998</v>
      </c>
      <c r="L41" s="73">
        <f t="shared" si="7"/>
        <v>0.06</v>
      </c>
      <c r="M41" s="43">
        <v>294</v>
      </c>
      <c r="N41" s="116"/>
    </row>
    <row r="42" spans="2:14" s="27" customFormat="1" ht="82.5" customHeight="1" thickBot="1" x14ac:dyDescent="0.4">
      <c r="B42" s="126">
        <v>15</v>
      </c>
      <c r="C42" s="113" t="s">
        <v>128</v>
      </c>
      <c r="D42" s="111" t="s">
        <v>24</v>
      </c>
      <c r="E42" s="61" t="s">
        <v>127</v>
      </c>
      <c r="F42" s="46">
        <v>44385</v>
      </c>
      <c r="G42" s="46">
        <v>44749</v>
      </c>
      <c r="H42" s="62">
        <f t="shared" si="5"/>
        <v>364</v>
      </c>
      <c r="I42" s="47">
        <v>1724358.91</v>
      </c>
      <c r="J42" s="60"/>
      <c r="K42" s="28">
        <f>I42*L42</f>
        <v>103461.53459999998</v>
      </c>
      <c r="L42" s="72">
        <f t="shared" si="7"/>
        <v>0.06</v>
      </c>
      <c r="M42" s="60">
        <v>315</v>
      </c>
      <c r="N42" s="115" t="s">
        <v>145</v>
      </c>
    </row>
    <row r="43" spans="2:14" s="44" customFormat="1" ht="82.5" customHeight="1" thickBot="1" x14ac:dyDescent="0.4">
      <c r="B43" s="127"/>
      <c r="C43" s="114"/>
      <c r="D43" s="112"/>
      <c r="E43" s="33" t="s">
        <v>126</v>
      </c>
      <c r="F43" s="40">
        <v>44385</v>
      </c>
      <c r="G43" s="40">
        <v>44749</v>
      </c>
      <c r="H43" s="41">
        <f t="shared" ref="H43:H44" si="8">+G43-F43</f>
        <v>364</v>
      </c>
      <c r="I43" s="42">
        <v>1724103.39</v>
      </c>
      <c r="J43" s="43" t="s">
        <v>34</v>
      </c>
      <c r="K43" s="45">
        <f>L43*I43</f>
        <v>103446.20339999998</v>
      </c>
      <c r="L43" s="73">
        <f t="shared" si="7"/>
        <v>0.06</v>
      </c>
      <c r="M43" s="43">
        <v>314</v>
      </c>
      <c r="N43" s="116"/>
    </row>
    <row r="44" spans="2:14" s="27" customFormat="1" ht="61.5" customHeight="1" thickBot="1" x14ac:dyDescent="0.4">
      <c r="B44" s="126">
        <v>16</v>
      </c>
      <c r="C44" s="113" t="s">
        <v>128</v>
      </c>
      <c r="D44" s="111" t="s">
        <v>24</v>
      </c>
      <c r="E44" s="61" t="s">
        <v>130</v>
      </c>
      <c r="F44" s="46">
        <v>43285</v>
      </c>
      <c r="G44" s="46">
        <v>43649</v>
      </c>
      <c r="H44" s="62">
        <f t="shared" si="8"/>
        <v>364</v>
      </c>
      <c r="I44" s="47">
        <v>1724358.91</v>
      </c>
      <c r="J44" s="60"/>
      <c r="K44" s="28">
        <f>L44*I44</f>
        <v>103461.53459999998</v>
      </c>
      <c r="L44" s="83">
        <f t="shared" ref="L44:L46" si="9">0.3*0.2</f>
        <v>0.06</v>
      </c>
      <c r="M44" s="60">
        <v>337</v>
      </c>
      <c r="N44" s="115" t="s">
        <v>146</v>
      </c>
    </row>
    <row r="45" spans="2:14" s="27" customFormat="1" ht="61.5" customHeight="1" thickBot="1" x14ac:dyDescent="0.4">
      <c r="B45" s="128"/>
      <c r="C45" s="129"/>
      <c r="D45" s="130"/>
      <c r="E45" s="61" t="s">
        <v>131</v>
      </c>
      <c r="F45" s="46">
        <v>43650</v>
      </c>
      <c r="G45" s="46">
        <v>44015</v>
      </c>
      <c r="H45" s="62">
        <f t="shared" ref="H45" si="10">+G45-F45</f>
        <v>365</v>
      </c>
      <c r="I45" s="47">
        <v>1724358.91</v>
      </c>
      <c r="J45" s="60"/>
      <c r="K45" s="28">
        <f t="shared" ref="K45" si="11">L45*I45</f>
        <v>103461.53459999998</v>
      </c>
      <c r="L45" s="83">
        <f t="shared" si="9"/>
        <v>0.06</v>
      </c>
      <c r="M45" s="60">
        <v>347</v>
      </c>
      <c r="N45" s="125"/>
    </row>
    <row r="46" spans="2:14" s="27" customFormat="1" ht="61.5" customHeight="1" thickBot="1" x14ac:dyDescent="0.4">
      <c r="B46" s="128"/>
      <c r="C46" s="129"/>
      <c r="D46" s="130"/>
      <c r="E46" s="61" t="s">
        <v>132</v>
      </c>
      <c r="F46" s="46">
        <v>44016</v>
      </c>
      <c r="G46" s="46">
        <v>44380</v>
      </c>
      <c r="H46" s="62">
        <f t="shared" ref="H46" si="12">+G46-F46</f>
        <v>364</v>
      </c>
      <c r="I46" s="47">
        <v>1724358.91</v>
      </c>
      <c r="J46" s="60"/>
      <c r="K46" s="28">
        <f t="shared" ref="K46" si="13">L46*I46</f>
        <v>103461.53459999998</v>
      </c>
      <c r="L46" s="83">
        <f t="shared" si="9"/>
        <v>0.06</v>
      </c>
      <c r="M46" s="60">
        <v>350</v>
      </c>
      <c r="N46" s="125"/>
    </row>
    <row r="47" spans="2:14" s="27" customFormat="1" ht="61.5" customHeight="1" thickBot="1" x14ac:dyDescent="0.4">
      <c r="B47" s="127"/>
      <c r="C47" s="114"/>
      <c r="D47" s="112"/>
      <c r="E47" s="33" t="s">
        <v>129</v>
      </c>
      <c r="F47" s="40">
        <v>43285</v>
      </c>
      <c r="G47" s="40">
        <v>44380</v>
      </c>
      <c r="H47" s="41">
        <f t="shared" ref="H47" si="14">+G47-F47</f>
        <v>1095</v>
      </c>
      <c r="I47" s="42">
        <v>5165183.05</v>
      </c>
      <c r="J47" s="43" t="s">
        <v>34</v>
      </c>
      <c r="K47" s="45">
        <f>L47*I47</f>
        <v>309910.98299999995</v>
      </c>
      <c r="L47" s="73">
        <f t="shared" ref="L47:L54" si="15">0.3*0.2</f>
        <v>0.06</v>
      </c>
      <c r="M47" s="43">
        <v>336</v>
      </c>
      <c r="N47" s="116"/>
    </row>
    <row r="48" spans="2:14" s="27" customFormat="1" ht="82.5" customHeight="1" thickBot="1" x14ac:dyDescent="0.4">
      <c r="B48" s="126">
        <v>17</v>
      </c>
      <c r="C48" s="113" t="s">
        <v>133</v>
      </c>
      <c r="D48" s="111" t="s">
        <v>24</v>
      </c>
      <c r="E48" s="61" t="s">
        <v>135</v>
      </c>
      <c r="F48" s="46">
        <v>44735</v>
      </c>
      <c r="G48" s="46">
        <v>44917</v>
      </c>
      <c r="H48" s="62">
        <f t="shared" ref="H48:H49" si="16">+G48-F48</f>
        <v>182</v>
      </c>
      <c r="I48" s="47">
        <v>611830.67000000004</v>
      </c>
      <c r="J48" s="60"/>
      <c r="K48" s="28">
        <f>I48*L48</f>
        <v>36709.840199999999</v>
      </c>
      <c r="L48" s="72">
        <f t="shared" si="15"/>
        <v>0.06</v>
      </c>
      <c r="M48" s="60">
        <v>375</v>
      </c>
      <c r="N48" s="115" t="s">
        <v>147</v>
      </c>
    </row>
    <row r="49" spans="2:14" s="44" customFormat="1" ht="82.5" customHeight="1" thickBot="1" x14ac:dyDescent="0.4">
      <c r="B49" s="127"/>
      <c r="C49" s="114"/>
      <c r="D49" s="112"/>
      <c r="E49" s="33" t="s">
        <v>134</v>
      </c>
      <c r="F49" s="40">
        <v>44735</v>
      </c>
      <c r="G49" s="40">
        <v>44917</v>
      </c>
      <c r="H49" s="41">
        <f t="shared" si="16"/>
        <v>182</v>
      </c>
      <c r="I49" s="42">
        <v>611623.97</v>
      </c>
      <c r="J49" s="43" t="s">
        <v>34</v>
      </c>
      <c r="K49" s="45">
        <f>L49*I49</f>
        <v>36697.438199999997</v>
      </c>
      <c r="L49" s="73">
        <f t="shared" si="15"/>
        <v>0.06</v>
      </c>
      <c r="M49" s="43">
        <v>374</v>
      </c>
      <c r="N49" s="116"/>
    </row>
    <row r="50" spans="2:14" s="27" customFormat="1" ht="82.5" customHeight="1" thickBot="1" x14ac:dyDescent="0.4">
      <c r="B50" s="126">
        <v>18</v>
      </c>
      <c r="C50" s="113" t="s">
        <v>133</v>
      </c>
      <c r="D50" s="111" t="s">
        <v>24</v>
      </c>
      <c r="E50" s="61" t="s">
        <v>137</v>
      </c>
      <c r="F50" s="46">
        <v>44550</v>
      </c>
      <c r="G50" s="46">
        <v>44731</v>
      </c>
      <c r="H50" s="62">
        <f t="shared" ref="H50:H51" si="17">+G50-F50</f>
        <v>181</v>
      </c>
      <c r="I50" s="47">
        <v>611830.67000000004</v>
      </c>
      <c r="J50" s="60"/>
      <c r="K50" s="28">
        <f>I50*L50</f>
        <v>36709.840199999999</v>
      </c>
      <c r="L50" s="72">
        <f t="shared" si="15"/>
        <v>0.06</v>
      </c>
      <c r="M50" s="60">
        <v>399</v>
      </c>
      <c r="N50" s="115" t="s">
        <v>148</v>
      </c>
    </row>
    <row r="51" spans="2:14" s="44" customFormat="1" ht="82.5" customHeight="1" thickBot="1" x14ac:dyDescent="0.4">
      <c r="B51" s="127"/>
      <c r="C51" s="114"/>
      <c r="D51" s="112"/>
      <c r="E51" s="33" t="s">
        <v>136</v>
      </c>
      <c r="F51" s="40">
        <v>44550</v>
      </c>
      <c r="G51" s="40">
        <v>44731</v>
      </c>
      <c r="H51" s="41">
        <f t="shared" si="17"/>
        <v>181</v>
      </c>
      <c r="I51" s="42">
        <v>611690.68999999994</v>
      </c>
      <c r="J51" s="43" t="s">
        <v>34</v>
      </c>
      <c r="K51" s="45">
        <f>L51*I51</f>
        <v>36701.441399999996</v>
      </c>
      <c r="L51" s="73">
        <f t="shared" si="15"/>
        <v>0.06</v>
      </c>
      <c r="M51" s="43">
        <v>398</v>
      </c>
      <c r="N51" s="116"/>
    </row>
    <row r="52" spans="2:14" s="27" customFormat="1" ht="82.5" customHeight="1" thickBot="1" x14ac:dyDescent="0.4">
      <c r="B52" s="126">
        <v>19</v>
      </c>
      <c r="C52" s="113" t="s">
        <v>133</v>
      </c>
      <c r="D52" s="111" t="s">
        <v>24</v>
      </c>
      <c r="E52" s="61" t="s">
        <v>139</v>
      </c>
      <c r="F52" s="46">
        <v>44326</v>
      </c>
      <c r="G52" s="46">
        <v>44509</v>
      </c>
      <c r="H52" s="62">
        <f t="shared" ref="H52:H53" si="18">+G52-F52</f>
        <v>183</v>
      </c>
      <c r="I52" s="47">
        <v>611830.67000000004</v>
      </c>
      <c r="J52" s="60"/>
      <c r="K52" s="28">
        <f>I52*L52</f>
        <v>36709.840199999999</v>
      </c>
      <c r="L52" s="72">
        <f t="shared" si="15"/>
        <v>0.06</v>
      </c>
      <c r="M52" s="60">
        <v>420</v>
      </c>
      <c r="N52" s="115" t="s">
        <v>149</v>
      </c>
    </row>
    <row r="53" spans="2:14" s="44" customFormat="1" ht="82.5" customHeight="1" thickBot="1" x14ac:dyDescent="0.4">
      <c r="B53" s="127"/>
      <c r="C53" s="114"/>
      <c r="D53" s="112"/>
      <c r="E53" s="33" t="s">
        <v>138</v>
      </c>
      <c r="F53" s="40">
        <v>44326</v>
      </c>
      <c r="G53" s="40">
        <v>44509</v>
      </c>
      <c r="H53" s="41">
        <f t="shared" si="18"/>
        <v>183</v>
      </c>
      <c r="I53" s="42">
        <v>611540.21</v>
      </c>
      <c r="J53" s="43" t="s">
        <v>34</v>
      </c>
      <c r="K53" s="45">
        <f>L53*I53</f>
        <v>36692.412599999996</v>
      </c>
      <c r="L53" s="73">
        <f t="shared" si="15"/>
        <v>0.06</v>
      </c>
      <c r="M53" s="43">
        <v>419</v>
      </c>
      <c r="N53" s="116"/>
    </row>
    <row r="54" spans="2:14" s="27" customFormat="1" ht="82.5" customHeight="1" thickBot="1" x14ac:dyDescent="0.4">
      <c r="B54" s="126">
        <v>20</v>
      </c>
      <c r="C54" s="113" t="s">
        <v>133</v>
      </c>
      <c r="D54" s="111" t="s">
        <v>24</v>
      </c>
      <c r="E54" s="61" t="s">
        <v>141</v>
      </c>
      <c r="F54" s="46">
        <v>43255</v>
      </c>
      <c r="G54" s="46">
        <v>43619</v>
      </c>
      <c r="H54" s="62">
        <f t="shared" ref="H54:H58" si="19">+G54-F54</f>
        <v>364</v>
      </c>
      <c r="I54" s="47">
        <v>1223661.33</v>
      </c>
      <c r="J54" s="60"/>
      <c r="K54" s="28">
        <f>I54*L54</f>
        <v>73419.679799999998</v>
      </c>
      <c r="L54" s="72">
        <f t="shared" si="15"/>
        <v>0.06</v>
      </c>
      <c r="M54" s="60">
        <v>441</v>
      </c>
      <c r="N54" s="115" t="s">
        <v>150</v>
      </c>
    </row>
    <row r="55" spans="2:14" s="27" customFormat="1" ht="82.5" customHeight="1" thickBot="1" x14ac:dyDescent="0.4">
      <c r="B55" s="128"/>
      <c r="C55" s="129"/>
      <c r="D55" s="130"/>
      <c r="E55" s="61" t="s">
        <v>142</v>
      </c>
      <c r="F55" s="46">
        <v>43803</v>
      </c>
      <c r="G55" s="46">
        <v>43954</v>
      </c>
      <c r="H55" s="62">
        <f t="shared" si="19"/>
        <v>151</v>
      </c>
      <c r="I55" s="47">
        <v>509858.9</v>
      </c>
      <c r="J55" s="60"/>
      <c r="K55" s="28">
        <f>L55*I55</f>
        <v>30591.534</v>
      </c>
      <c r="L55" s="72">
        <v>0.06</v>
      </c>
      <c r="M55" s="60">
        <v>454</v>
      </c>
      <c r="N55" s="125"/>
    </row>
    <row r="56" spans="2:14" s="27" customFormat="1" ht="82.5" customHeight="1" thickBot="1" x14ac:dyDescent="0.4">
      <c r="B56" s="128"/>
      <c r="C56" s="129"/>
      <c r="D56" s="130"/>
      <c r="E56" s="61" t="s">
        <v>143</v>
      </c>
      <c r="F56" s="46">
        <v>43955</v>
      </c>
      <c r="G56" s="46">
        <v>44138</v>
      </c>
      <c r="H56" s="62">
        <f t="shared" ref="H56:H57" si="20">+G56-F56</f>
        <v>183</v>
      </c>
      <c r="I56" s="47">
        <v>611830.67000000004</v>
      </c>
      <c r="J56" s="60"/>
      <c r="K56" s="28">
        <f>L56*I56</f>
        <v>36709.840199999999</v>
      </c>
      <c r="L56" s="72">
        <v>0.06</v>
      </c>
      <c r="M56" s="60">
        <v>461</v>
      </c>
      <c r="N56" s="125"/>
    </row>
    <row r="57" spans="2:14" s="27" customFormat="1" ht="82.5" customHeight="1" thickBot="1" x14ac:dyDescent="0.4">
      <c r="B57" s="128"/>
      <c r="C57" s="129"/>
      <c r="D57" s="130"/>
      <c r="E57" s="61" t="s">
        <v>144</v>
      </c>
      <c r="F57" s="46">
        <v>44139</v>
      </c>
      <c r="G57" s="46">
        <v>44319</v>
      </c>
      <c r="H57" s="62">
        <f t="shared" si="20"/>
        <v>180</v>
      </c>
      <c r="I57" s="47">
        <v>611830.67000000004</v>
      </c>
      <c r="J57" s="60"/>
      <c r="K57" s="28">
        <f>L57*I57</f>
        <v>36709.840199999999</v>
      </c>
      <c r="L57" s="72">
        <v>0.06</v>
      </c>
      <c r="M57" s="60">
        <v>470</v>
      </c>
      <c r="N57" s="125"/>
    </row>
    <row r="58" spans="2:14" s="44" customFormat="1" ht="82.5" customHeight="1" thickBot="1" x14ac:dyDescent="0.4">
      <c r="B58" s="127"/>
      <c r="C58" s="114"/>
      <c r="D58" s="112"/>
      <c r="E58" s="33" t="s">
        <v>140</v>
      </c>
      <c r="F58" s="40">
        <v>43255</v>
      </c>
      <c r="G58" s="40">
        <v>44319</v>
      </c>
      <c r="H58" s="41">
        <f t="shared" si="19"/>
        <v>1064</v>
      </c>
      <c r="I58" s="42">
        <v>3641958.05</v>
      </c>
      <c r="J58" s="43" t="s">
        <v>34</v>
      </c>
      <c r="K58" s="45">
        <f>L58*I58</f>
        <v>218517.48299999998</v>
      </c>
      <c r="L58" s="73">
        <f>0.3*0.2</f>
        <v>0.06</v>
      </c>
      <c r="M58" s="43">
        <v>440</v>
      </c>
      <c r="N58" s="116"/>
    </row>
    <row r="59" spans="2:14" ht="18.5" x14ac:dyDescent="0.35">
      <c r="B59" s="86"/>
      <c r="C59" s="86"/>
      <c r="D59" s="87"/>
      <c r="E59" s="88"/>
      <c r="F59" s="89"/>
      <c r="G59" s="89"/>
      <c r="H59" s="90"/>
      <c r="I59" s="89"/>
      <c r="J59" s="89"/>
      <c r="K59" s="91"/>
      <c r="L59" s="91"/>
      <c r="M59" s="89"/>
      <c r="N59" s="89"/>
    </row>
    <row r="60" spans="2:14" ht="19" thickBot="1" x14ac:dyDescent="0.5">
      <c r="C60" s="119" t="s">
        <v>19</v>
      </c>
      <c r="D60" s="119"/>
      <c r="E60" s="119"/>
      <c r="F60" s="48">
        <v>45261</v>
      </c>
      <c r="G60" s="75">
        <f>8*365</f>
        <v>2920</v>
      </c>
      <c r="H60" s="48">
        <f>+F60-G60</f>
        <v>42341</v>
      </c>
      <c r="I60" s="48">
        <f>+G60-H60</f>
        <v>-39421</v>
      </c>
    </row>
    <row r="61" spans="2:14" ht="15" thickBot="1" x14ac:dyDescent="0.4">
      <c r="C61" s="17" t="s">
        <v>27</v>
      </c>
      <c r="D61" s="55">
        <v>3067564</v>
      </c>
      <c r="E61" s="63"/>
      <c r="F61" s="64"/>
      <c r="G61" s="65"/>
      <c r="H61" s="66"/>
    </row>
    <row r="62" spans="2:14" ht="15" thickBot="1" x14ac:dyDescent="0.4">
      <c r="C62" s="18" t="s">
        <v>13</v>
      </c>
      <c r="D62" s="56"/>
      <c r="E62" s="120" t="s">
        <v>43</v>
      </c>
      <c r="F62" s="121"/>
      <c r="G62" s="121"/>
      <c r="H62" s="122"/>
      <c r="I62" s="14"/>
      <c r="J62" s="14"/>
      <c r="K62" s="70"/>
      <c r="L62" s="70"/>
      <c r="M62" s="14"/>
      <c r="N62" s="14"/>
    </row>
    <row r="63" spans="2:14" x14ac:dyDescent="0.35">
      <c r="C63" t="s">
        <v>28</v>
      </c>
      <c r="D63" s="57">
        <f>K7+K12+K15+K19+K21+K23+K25+K27+K29+K32+K34+K36+K39+K41+K43+K47+K49+K51+K53+K58</f>
        <v>9559469.2963999994</v>
      </c>
    </row>
    <row r="64" spans="2:14" x14ac:dyDescent="0.35">
      <c r="C64" t="s">
        <v>14</v>
      </c>
      <c r="D64" s="58">
        <f>+D63/D61</f>
        <v>3.1163063904779165</v>
      </c>
      <c r="E64" s="59"/>
      <c r="F64" s="14"/>
      <c r="H64" s="14"/>
    </row>
    <row r="66" spans="4:14" x14ac:dyDescent="0.35">
      <c r="E66" s="36" t="s">
        <v>20</v>
      </c>
      <c r="F66" s="19"/>
      <c r="G66" s="20">
        <v>100</v>
      </c>
    </row>
    <row r="67" spans="4:14" x14ac:dyDescent="0.35">
      <c r="E67" s="37"/>
      <c r="F67"/>
      <c r="G67"/>
    </row>
    <row r="68" spans="4:14" x14ac:dyDescent="0.35">
      <c r="E68" s="38" t="s">
        <v>21</v>
      </c>
      <c r="F68" s="21"/>
      <c r="G68" s="49">
        <v>2760807.6</v>
      </c>
    </row>
    <row r="69" spans="4:14" x14ac:dyDescent="0.35">
      <c r="E69" s="37"/>
      <c r="F69"/>
      <c r="G69"/>
    </row>
    <row r="70" spans="4:14" x14ac:dyDescent="0.35">
      <c r="E70" s="38" t="s">
        <v>22</v>
      </c>
      <c r="F70" s="22">
        <v>2638000</v>
      </c>
      <c r="G70" s="50"/>
    </row>
    <row r="71" spans="4:14" x14ac:dyDescent="0.35">
      <c r="E71" s="37"/>
      <c r="F71"/>
      <c r="G71"/>
    </row>
    <row r="72" spans="4:14" x14ac:dyDescent="0.35">
      <c r="E72" s="36" t="s">
        <v>39</v>
      </c>
      <c r="F72" s="19"/>
      <c r="G72" s="20">
        <f>+F70/G68*100</f>
        <v>95.551750871737667</v>
      </c>
    </row>
    <row r="73" spans="4:14" ht="15" thickBot="1" x14ac:dyDescent="0.4">
      <c r="E73" s="37"/>
      <c r="F73"/>
      <c r="G73"/>
    </row>
    <row r="74" spans="4:14" ht="19" thickBot="1" x14ac:dyDescent="0.5">
      <c r="E74" s="39" t="s">
        <v>23</v>
      </c>
      <c r="F74" s="69">
        <f>+G66*0.8+G72*0.2</f>
        <v>99.110350174347531</v>
      </c>
      <c r="G74" s="23"/>
    </row>
    <row r="76" spans="4:14" x14ac:dyDescent="0.35">
      <c r="E76" s="37"/>
      <c r="F76"/>
      <c r="G76"/>
      <c r="H76"/>
      <c r="I76"/>
      <c r="J76"/>
      <c r="K76"/>
      <c r="L76"/>
      <c r="M76"/>
      <c r="N76"/>
    </row>
    <row r="77" spans="4:14" x14ac:dyDescent="0.35">
      <c r="E77" s="37"/>
      <c r="F77"/>
      <c r="G77"/>
      <c r="H77"/>
      <c r="I77"/>
      <c r="J77"/>
      <c r="K77"/>
      <c r="L77"/>
      <c r="M77"/>
      <c r="N77"/>
    </row>
    <row r="78" spans="4:14" x14ac:dyDescent="0.35">
      <c r="D78" s="85">
        <f>D61*2.51</f>
        <v>7699585.6399999997</v>
      </c>
      <c r="E78" s="37"/>
      <c r="F78"/>
      <c r="G78"/>
      <c r="H78"/>
      <c r="I78"/>
      <c r="J78"/>
      <c r="K78"/>
      <c r="L78"/>
      <c r="M78"/>
      <c r="N78"/>
    </row>
    <row r="79" spans="4:14" x14ac:dyDescent="0.35">
      <c r="E79" s="37"/>
      <c r="F79"/>
      <c r="G79"/>
      <c r="H79"/>
      <c r="I79"/>
      <c r="J79"/>
      <c r="K79"/>
      <c r="L79"/>
      <c r="M79"/>
      <c r="N79"/>
    </row>
    <row r="80" spans="4:14" x14ac:dyDescent="0.35">
      <c r="E80" s="37"/>
      <c r="F80"/>
      <c r="G80"/>
      <c r="H80"/>
      <c r="I80"/>
      <c r="J80"/>
      <c r="K80"/>
      <c r="L80"/>
      <c r="M80"/>
      <c r="N80"/>
    </row>
  </sheetData>
  <mergeCells count="83">
    <mergeCell ref="C60:E60"/>
    <mergeCell ref="E62:H62"/>
    <mergeCell ref="B4:B7"/>
    <mergeCell ref="C4:C7"/>
    <mergeCell ref="D4:D7"/>
    <mergeCell ref="B50:B51"/>
    <mergeCell ref="C50:C51"/>
    <mergeCell ref="D50:D51"/>
    <mergeCell ref="B54:B58"/>
    <mergeCell ref="C54:C58"/>
    <mergeCell ref="D54:D58"/>
    <mergeCell ref="D40:D41"/>
    <mergeCell ref="B48:B49"/>
    <mergeCell ref="C48:C49"/>
    <mergeCell ref="D48:D49"/>
    <mergeCell ref="E2:M2"/>
    <mergeCell ref="B33:B34"/>
    <mergeCell ref="C33:C34"/>
    <mergeCell ref="D33:D34"/>
    <mergeCell ref="B37:B39"/>
    <mergeCell ref="C37:C39"/>
    <mergeCell ref="D37:D39"/>
    <mergeCell ref="B30:B32"/>
    <mergeCell ref="C30:C32"/>
    <mergeCell ref="D30:D32"/>
    <mergeCell ref="B26:B27"/>
    <mergeCell ref="C26:C27"/>
    <mergeCell ref="D26:D27"/>
    <mergeCell ref="N4:N7"/>
    <mergeCell ref="B28:B29"/>
    <mergeCell ref="C28:C29"/>
    <mergeCell ref="D28:D29"/>
    <mergeCell ref="N28:N29"/>
    <mergeCell ref="B8:B12"/>
    <mergeCell ref="C8:C12"/>
    <mergeCell ref="D8:D12"/>
    <mergeCell ref="N8:N12"/>
    <mergeCell ref="B13:B15"/>
    <mergeCell ref="C13:C15"/>
    <mergeCell ref="D13:D15"/>
    <mergeCell ref="N13:N15"/>
    <mergeCell ref="B16:B19"/>
    <mergeCell ref="C16:C19"/>
    <mergeCell ref="D16:D19"/>
    <mergeCell ref="N40:N41"/>
    <mergeCell ref="N33:N34"/>
    <mergeCell ref="B35:B36"/>
    <mergeCell ref="C35:C36"/>
    <mergeCell ref="D35:D36"/>
    <mergeCell ref="N35:N36"/>
    <mergeCell ref="N37:N39"/>
    <mergeCell ref="B40:B41"/>
    <mergeCell ref="C40:C41"/>
    <mergeCell ref="N16:N19"/>
    <mergeCell ref="B20:B21"/>
    <mergeCell ref="C20:C21"/>
    <mergeCell ref="D20:D21"/>
    <mergeCell ref="N20:N21"/>
    <mergeCell ref="N30:N32"/>
    <mergeCell ref="B22:B23"/>
    <mergeCell ref="C22:C23"/>
    <mergeCell ref="D22:D23"/>
    <mergeCell ref="N22:N23"/>
    <mergeCell ref="B24:B25"/>
    <mergeCell ref="C24:C25"/>
    <mergeCell ref="D24:D25"/>
    <mergeCell ref="N24:N25"/>
    <mergeCell ref="N26:N27"/>
    <mergeCell ref="N48:N49"/>
    <mergeCell ref="N42:N43"/>
    <mergeCell ref="B44:B47"/>
    <mergeCell ref="C44:C47"/>
    <mergeCell ref="D44:D47"/>
    <mergeCell ref="N44:N47"/>
    <mergeCell ref="B42:B43"/>
    <mergeCell ref="C42:C43"/>
    <mergeCell ref="D42:D43"/>
    <mergeCell ref="N54:N58"/>
    <mergeCell ref="N50:N51"/>
    <mergeCell ref="B52:B53"/>
    <mergeCell ref="C52:C53"/>
    <mergeCell ref="D52:D53"/>
    <mergeCell ref="N52:N5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H4ZUARPRAJFR-49-8656</_dlc_DocId>
    <_dlc_DocIdUrl xmlns="c9af1732-5c4a-47a8-8a40-65a3d58cbfeb">
      <Url>http://portal/seccion/centro_documental/_layouts/15/DocIdRedir.aspx?ID=H4ZUARPRAJFR-49-8656</Url>
      <Description>H4ZUARPRAJFR-49-8656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EC8CE-7908-47FA-A6C1-467E59DD29D7}"/>
</file>

<file path=customXml/itemProps2.xml><?xml version="1.0" encoding="utf-8"?>
<ds:datastoreItem xmlns:ds="http://schemas.openxmlformats.org/officeDocument/2006/customXml" ds:itemID="{B22A2AAF-B973-46DC-A97D-7642A9E41F7E}"/>
</file>

<file path=customXml/itemProps3.xml><?xml version="1.0" encoding="utf-8"?>
<ds:datastoreItem xmlns:ds="http://schemas.openxmlformats.org/officeDocument/2006/customXml" ds:itemID="{5CA023AF-F986-4BF5-969B-40FF69B45FE8}"/>
</file>

<file path=customXml/itemProps4.xml><?xml version="1.0" encoding="utf-8"?>
<ds:datastoreItem xmlns:ds="http://schemas.openxmlformats.org/officeDocument/2006/customXml" ds:itemID="{5A3D2917-5929-4B9E-A000-9229CF1F1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YURANI - GOWAL</vt:lpstr>
      <vt:lpstr>INAB - MORENO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cp:lastPrinted>2023-12-10T16:25:40Z</cp:lastPrinted>
  <dcterms:created xsi:type="dcterms:W3CDTF">2019-11-14T14:16:27Z</dcterms:created>
  <dcterms:modified xsi:type="dcterms:W3CDTF">2023-12-18T23:45:35Z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792f185c-0e74-4729-b2de-e56711144086</vt:lpwstr>
  </property>
</Properties>
</file>