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8. Evaluación\"/>
    </mc:Choice>
  </mc:AlternateContent>
  <bookViews>
    <workbookView xWindow="0" yWindow="0" windowWidth="19200" windowHeight="6180" activeTab="2"/>
  </bookViews>
  <sheets>
    <sheet name="Resumen" sheetId="1" r:id="rId1"/>
    <sheet name="INAB-GAS" sheetId="15" r:id="rId2"/>
    <sheet name="BP-ICB" sheetId="22" r:id="rId3"/>
    <sheet name="COINCE" sheetId="2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5" l="1"/>
  <c r="G33" i="25"/>
  <c r="G107" i="22"/>
  <c r="F109" i="22" s="1"/>
  <c r="F56" i="15"/>
  <c r="G54" i="15"/>
  <c r="D24" i="25"/>
  <c r="K16" i="25"/>
  <c r="K15" i="25"/>
  <c r="K17" i="25"/>
  <c r="H17" i="25"/>
  <c r="K14" i="25"/>
  <c r="K13" i="25"/>
  <c r="H13" i="25"/>
  <c r="K12" i="25"/>
  <c r="H12" i="25"/>
  <c r="K11" i="25"/>
  <c r="H11" i="25"/>
  <c r="K10" i="25"/>
  <c r="H10" i="25"/>
  <c r="K9" i="25"/>
  <c r="H9" i="25"/>
  <c r="K8" i="25"/>
  <c r="H8" i="25"/>
  <c r="K7" i="25"/>
  <c r="H7" i="25"/>
  <c r="K6" i="25"/>
  <c r="H6" i="25"/>
  <c r="H21" i="25" l="1"/>
  <c r="I21" i="25" s="1"/>
  <c r="D25" i="25"/>
  <c r="H5" i="25"/>
  <c r="H4" i="25"/>
  <c r="K90" i="22" l="1"/>
  <c r="K89" i="22"/>
  <c r="K88" i="22"/>
  <c r="K87" i="22"/>
  <c r="H87" i="22"/>
  <c r="K86" i="22"/>
  <c r="K85" i="22"/>
  <c r="H85" i="22"/>
  <c r="K84" i="22" l="1"/>
  <c r="H83" i="22"/>
  <c r="K83" i="22"/>
  <c r="K82" i="22"/>
  <c r="I81" i="22"/>
  <c r="K81" i="22" s="1"/>
  <c r="K80" i="22"/>
  <c r="I79" i="22"/>
  <c r="K79" i="22" s="1"/>
  <c r="I78" i="22"/>
  <c r="K78" i="22" s="1"/>
  <c r="K77" i="22"/>
  <c r="K76" i="22"/>
  <c r="K75" i="22"/>
  <c r="K74" i="22"/>
  <c r="K73" i="22" l="1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 l="1"/>
  <c r="K52" i="22"/>
  <c r="K51" i="22"/>
  <c r="K50" i="22"/>
  <c r="K49" i="22"/>
  <c r="K48" i="22"/>
  <c r="K47" i="22"/>
  <c r="K46" i="22"/>
  <c r="K45" i="22"/>
  <c r="K44" i="22"/>
  <c r="K43" i="22"/>
  <c r="K42" i="22"/>
  <c r="I40" i="22"/>
  <c r="K40" i="22" s="1"/>
  <c r="K41" i="22"/>
  <c r="K39" i="22"/>
  <c r="K38" i="22"/>
  <c r="K37" i="22"/>
  <c r="K36" i="22"/>
  <c r="K35" i="22"/>
  <c r="K34" i="22"/>
  <c r="K33" i="22"/>
  <c r="K32" i="22"/>
  <c r="K31" i="22"/>
  <c r="K30" i="22"/>
  <c r="K24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I29" i="22"/>
  <c r="K29" i="22" s="1"/>
  <c r="I28" i="22"/>
  <c r="K28" i="22" s="1"/>
  <c r="I27" i="22"/>
  <c r="K27" i="22" s="1"/>
  <c r="I26" i="22"/>
  <c r="K26" i="22" s="1"/>
  <c r="I25" i="22"/>
  <c r="K25" i="22" s="1"/>
  <c r="I23" i="22"/>
  <c r="K23" i="22" s="1"/>
  <c r="I22" i="22"/>
  <c r="K22" i="22" s="1"/>
  <c r="I21" i="22"/>
  <c r="K21" i="22" s="1"/>
  <c r="I20" i="22"/>
  <c r="K20" i="22" s="1"/>
  <c r="I19" i="22"/>
  <c r="K19" i="22" s="1"/>
  <c r="I4" i="22"/>
  <c r="K4" i="22" s="1"/>
  <c r="K37" i="15"/>
  <c r="L38" i="15"/>
  <c r="K38" i="15" s="1"/>
  <c r="L37" i="15"/>
  <c r="L36" i="15"/>
  <c r="K36" i="15" s="1"/>
  <c r="H38" i="15"/>
  <c r="D98" i="22" l="1"/>
  <c r="D99" i="22" s="1"/>
  <c r="K35" i="15"/>
  <c r="H35" i="15"/>
  <c r="K34" i="15"/>
  <c r="H34" i="15"/>
  <c r="K33" i="15"/>
  <c r="I32" i="15"/>
  <c r="K32" i="15" s="1"/>
  <c r="H33" i="15"/>
  <c r="H32" i="15"/>
  <c r="K30" i="15" l="1"/>
  <c r="K29" i="15"/>
  <c r="K28" i="15"/>
  <c r="K27" i="15"/>
  <c r="K26" i="15"/>
  <c r="K25" i="15"/>
  <c r="K24" i="15"/>
  <c r="K23" i="15"/>
  <c r="K22" i="15"/>
  <c r="K21" i="15"/>
  <c r="K20" i="15"/>
  <c r="K19" i="15"/>
  <c r="K31" i="15"/>
  <c r="H31" i="15"/>
  <c r="K18" i="15"/>
  <c r="I17" i="15"/>
  <c r="K17" i="15" s="1"/>
  <c r="H18" i="15"/>
  <c r="K13" i="15"/>
  <c r="K14" i="15"/>
  <c r="K15" i="15"/>
  <c r="K16" i="15"/>
  <c r="K12" i="15"/>
  <c r="K11" i="15" l="1"/>
  <c r="K7" i="15"/>
  <c r="L10" i="15"/>
  <c r="K10" i="15" s="1"/>
  <c r="L9" i="15"/>
  <c r="K9" i="15" s="1"/>
  <c r="L8" i="15"/>
  <c r="K8" i="15" s="1"/>
  <c r="L7" i="15"/>
  <c r="L6" i="15"/>
  <c r="K6" i="15" s="1"/>
  <c r="L5" i="15"/>
  <c r="K5" i="15" s="1"/>
  <c r="L4" i="15"/>
  <c r="K4" i="15" s="1"/>
  <c r="D45" i="15" l="1"/>
  <c r="K10" i="1"/>
  <c r="F96" i="22" l="1"/>
  <c r="G96" i="22" s="1"/>
  <c r="H95" i="22"/>
  <c r="I95" i="22" s="1"/>
  <c r="H17" i="15" l="1"/>
  <c r="H16" i="15"/>
  <c r="I10" i="1" l="1"/>
  <c r="G10" i="1"/>
  <c r="F105" i="22" l="1"/>
  <c r="H11" i="15"/>
  <c r="H42" i="15" l="1"/>
  <c r="I42" i="15" s="1"/>
  <c r="D46" i="15" l="1"/>
</calcChain>
</file>

<file path=xl/sharedStrings.xml><?xml version="1.0" encoding="utf-8"?>
<sst xmlns="http://schemas.openxmlformats.org/spreadsheetml/2006/main" count="375" uniqueCount="284">
  <si>
    <t>Factor de Evaluación</t>
  </si>
  <si>
    <t>Criterio de Evaluación para Supervisión</t>
  </si>
  <si>
    <t>Rango de Evaluación</t>
  </si>
  <si>
    <t>N°</t>
  </si>
  <si>
    <t>Objeto del Contrato</t>
  </si>
  <si>
    <t>Cliente</t>
  </si>
  <si>
    <t xml:space="preserve">Documento </t>
  </si>
  <si>
    <t xml:space="preserve">Inicio </t>
  </si>
  <si>
    <t xml:space="preserve">Fin </t>
  </si>
  <si>
    <t>Tiempo</t>
  </si>
  <si>
    <t>Folio</t>
  </si>
  <si>
    <t>Monto Valido</t>
  </si>
  <si>
    <t>Penalidad</t>
  </si>
  <si>
    <t>Fecha de Validez de los Contratos:</t>
  </si>
  <si>
    <t>Número de Veces el Valor Referencial</t>
  </si>
  <si>
    <t>Puntaje Factor de Evaluación</t>
  </si>
  <si>
    <t>Asignado</t>
  </si>
  <si>
    <t>Observación</t>
  </si>
  <si>
    <t>Monto</t>
  </si>
  <si>
    <t>CRITERIOS DE EVALUACIÓN TÉCNICA DE LA EST</t>
  </si>
  <si>
    <t>Propuesta Técnica</t>
  </si>
  <si>
    <t>Propuesta Económica</t>
  </si>
  <si>
    <t>Prop. Económica más baja</t>
  </si>
  <si>
    <t>RESULTADO FINAL</t>
  </si>
  <si>
    <t>OSINERGMIN</t>
  </si>
  <si>
    <t>Experiencia del Postor</t>
  </si>
  <si>
    <t>FACTORES TECNICOS</t>
  </si>
  <si>
    <t>Valor Referencial:</t>
  </si>
  <si>
    <t>Valor Experiencia del Postor</t>
  </si>
  <si>
    <t xml:space="preserve">EXPERIENCIA DEL POSTOR: En el Servicio de Supervisión, Fiscalización, Diseño, Construcción, Inspección, Mantenimiento, u Operación de Instalaciones de Hidrocarburos. 
Evaluación:
Se evaluará en función al monto facturado acumulado por el postor de hasta [TRES (3) VECES EL VALOR REFERENCIAL, por la contratación de servicios de supervisión/fiscalización, durante un periodo de OCHO (8) AÑOS] (a) a la fecha de la presentación de propuestas.
Acreditación:
Copia simple de contratos u órdenes de servicios, y su respectiva conformidad por la prestación efectuada; o comprobantes de pago (b) cuya cancelación se acredite documental y fehacientemente, con un máximo de veinte (20) servicios prestados (c) a uno o más clientes, sin establecer limitaciones por el monto o el tiempo del servicio ejecutado.
En caso los postores presenten varios comprobantes de pago para acreditar una sola contratación, se debe acreditar que corresponden a dicha contratación; de lo contrario, se asumirá que los comprobantes acreditan contrataciones independientes, en cuyo caso solo se considerará, para la evaluación, las veinte (20) primeras contrataciones indicadas en el Anexo Nº 5 referido a la Experiencia del Postor.
</t>
  </si>
  <si>
    <t>Monto igual o mayor a 2.5 veces el valor referencial hasta 3 veces el valor referencial, 100 puntos.</t>
  </si>
  <si>
    <t>Monto igual o mayor a 2 veces el valor referencial y menor a 2.5 veces el valor referencial, 95 puntos.</t>
  </si>
  <si>
    <t>Monto igual o mayor a 1.5 veces el valor referencial y menor a 2 veces el valor referencial, 85 puntos.</t>
  </si>
  <si>
    <t>Monto mayor a 1 vez el valor referencial y menor a 1.5 veces el valor referencial, 80 puntos.</t>
  </si>
  <si>
    <t>SI</t>
  </si>
  <si>
    <t xml:space="preserve">COMPAÑÍA DE INGENIERIA Y CONSTRUCCION ESPECIALIZADA S.R.L. </t>
  </si>
  <si>
    <t xml:space="preserve">CONSORCIO CONSULTORIAS Y SERVICIOS INGENIEROS Y ABOGADOS S.A.C. – GAS OIL INSPECTION S.A.C. </t>
  </si>
  <si>
    <t>CONSORCIO BP CONSULTORES &amp; ASOCIADOS S.A.C. &amp; ICB INDUSTRIAL E.I.R.L.</t>
  </si>
  <si>
    <t>FECHA DE CÓMPUTO DE LOS 8 ÚLTIMOS AÑOS: 04/06/2015</t>
  </si>
  <si>
    <t>Brindar locación de servicios de "Supervisión en actividades de consumidores directos de combustibles para actividades de exploración de hidrocarburos, consumidores directos de combustibles para actividaes de explotación de hidrocarburos líquidos y medios de transporte marítimo de hidrocarburos líquidos"</t>
  </si>
  <si>
    <t>CONSTANCIA DE PRESTACION DE SERVICIOS DE SUPERVISIÓN N° DSHL-79-2019</t>
  </si>
  <si>
    <t>Contrato de Locación de Servicios N° SUP2015071</t>
  </si>
  <si>
    <t>Primera Addenda Contrato de Locación de Servicios N° SUP2015071</t>
  </si>
  <si>
    <t>Tercera Addenda Contrato de Locación de Servicios N° SUP2015071</t>
  </si>
  <si>
    <t>Quinta Addenda Contrato de Locación de Servicios N° SUP2015071</t>
  </si>
  <si>
    <t>Sexta Addenda Contrato de Locación de Servicios N° SUP2015071</t>
  </si>
  <si>
    <t>Septima Addenda Contrato de Locación de Servicios N° SUP2015071</t>
  </si>
  <si>
    <t>Octava Addenda Contrato de Locación de Servicios N° SUP2015071</t>
  </si>
  <si>
    <t>Factor</t>
  </si>
  <si>
    <t>Gas Oil Inspection S.A.C.: 70% en Promesa de Consorcio. 
80% en Contratos de Consorcio del Contrato de Locación de Servicios N° SUP2015071.
Contrato Consorcio 16/06/2015 - 15/06/2016.
Contrato Consorcio 18/07/2016 - 04/03/2017.
Contrato Consorcio 18/07/2016 - 04/03/2017.
Contrato Consorcio 09/01/2017 - 04/09/2017.
Contrato Consorcio 12/07/2017 - 04/03/2018.
Contrato Consorcio 16/01/2018 - 04/07/2018.
Contrato Consorcio 17/05/2018 - 04/01/2019.
Contrato Consorcio 19/11/2018 - 04/05/2019.</t>
  </si>
  <si>
    <t>CONSTANCIA DE PRESTACION DE SERVICIOS DE SUPERVISIÓN N° DSHL-20-2021</t>
  </si>
  <si>
    <t>Contrato de Locación de Servicios N° SUP1900069</t>
  </si>
  <si>
    <t>Primera Addenda Contrato de Locación de Servicios N° SUP1900069</t>
  </si>
  <si>
    <t>Segunda Addenda Contrato de Locación de Servicios N° SUP1900069</t>
  </si>
  <si>
    <t>Cuarta Addenda Contrato de Locación de Servicios N° SUP1900069</t>
  </si>
  <si>
    <t xml:space="preserve">Gas Oil Inspection S.A.C.: 70% en Promesa de Consorcio. 
80% en Contratos de Consorcio del Contrato de Locación de Servicios N° SUP1900069.
Contrato Consorcio 02/05/2019 - 15/12/2019.
Contrato Consorcio 06/12/2019 - 07/04/2020.
Contrato Consorcio 06/03/2020 - 07/09/2020.
Contrato Consorcio 06/08/2020 - 07/03/2021.
</t>
  </si>
  <si>
    <t>CONSTANCIA DE PRESTACION DE SERVICIOS DE SUPERVISIÓN N° DSHL-109-2021</t>
  </si>
  <si>
    <t>Contrato de Locación de Servicios N° SUP2100025</t>
  </si>
  <si>
    <t>Gas Oil Inspection S.A.C.: 70% en Promesa de Consorcio. 
80% en Contratos de Consorcio del Contrato de Locación de Servicios N° SUP2100025.
Contrato Consorcio 22/02/2021 - 15/10/2021.</t>
  </si>
  <si>
    <t>Brindar locación de servicio de "Supervisión de Plantas Envasadoras de GLP"</t>
  </si>
  <si>
    <t>CONSTANCIA DE PRESTACION DE SERVICIOS DE SUPERVISIÓN N° DSHL-177-2020</t>
  </si>
  <si>
    <t>Contrato de Locación de Servicios N° SUP2015075</t>
  </si>
  <si>
    <t>Segunda Addenda Contrato de Locación de Servicios N° SUP2015075</t>
  </si>
  <si>
    <t>Cuarta Addenda Contrato de Locación de Servicios N° SUP2015075</t>
  </si>
  <si>
    <t>Quinta Addenda Contrato de Locación de Servicios N° SUP2015075</t>
  </si>
  <si>
    <t>Septima Addenda Contrato de Locación de Servicios N° SUP2015075</t>
  </si>
  <si>
    <t>Octava Addenda Contrato de Locación de Servicios N° SUP2015075</t>
  </si>
  <si>
    <t>Novena Addenda Contrato de Locación de Servicios N° SUP2015075</t>
  </si>
  <si>
    <t>Décima Addenda Contrato de Locación de Servicios N° SUP2015075</t>
  </si>
  <si>
    <t>Décima Segunda Addenda Contrato de Locación de Servicios N° SUP2015075</t>
  </si>
  <si>
    <t>Décima Tercera Addenda Contrato de Locación de Servicios N° SUP2015075</t>
  </si>
  <si>
    <t>Décima Cuarta Addenda Contrato de Locación de Servicios N° SUP2015075</t>
  </si>
  <si>
    <t>Décima Quinta Addenda Contrato de Locación de Servicios N° SUP2015075</t>
  </si>
  <si>
    <t>Gas Oil Inspection S.A.C.: 70% en Promesa de Consorcio. 
80% en Contratos de Consorcio del Contrato de Locación de Servicios N° SUP2015071.
Contrato Consorcio 16/06/2015 - 15/06/2016.
Contrato Consorcio 18/07/2016 - 04/03/2017.
Contrato Consorcio 18/07/2016 - 04/03/2017.
Contrato Consorcio 09/01/2017 - 04/09/2017.
Contrato Consorcio 12/07/2017 - 04/03/2018.
Contrato Consorcio 16/01/2018 - 04/09/2018.
Contrato Consorcio 20/07/2018 - 04/02/2019.
Contrato Consorcio 21/01/2019 - 04/06/2019.
Contrato Consorcio 03/05/2019 - 04/12/2019.
Contrato Consorcio 03/11/2019 - 04/03/2020.
Contrato Consorcio 03/02/2020 - 04/07/2020.
Contrato Consorcio 03/06/2020 - 04/01/2021.</t>
  </si>
  <si>
    <t>CONSTANCIA DE PRESTACION DE SERVICIOS DE SUPERVISIÓN N° DSHL-75-2021</t>
  </si>
  <si>
    <t>Contrato de Locación de Servicios N° SUP2000071</t>
  </si>
  <si>
    <t>Gas Oil Inspection S.A.C.: 70% en Promesa de Consorcio. 
80% en Contratos de Consorcio del Contrato de Locación de Servicios N° SUP2000071.
Contrato Consorcio 03/12/2020 - 10/07/2021.</t>
  </si>
  <si>
    <t>Brindar locación el servicio de "Supervisión sobre el 100% de los camiones tanque y camiones cisterna inscritos en el Registro de Hidrocarburos, utilizados en el transporte y distribución de GLP a granel a nivel nacional"</t>
  </si>
  <si>
    <t>CONSTANCIA DE PRESTACION DE SERVICIOS DE SUPERVISIÓN N° 160 - DSR/GSE</t>
  </si>
  <si>
    <t>Contrato de Locación de Servicios N° SUP2000034</t>
  </si>
  <si>
    <t>Supervisión fiscalización de las actividades de exploración y explotación de hidrocarburos en lotes petroleros incluyendo los consumidores directos fijos y moviles constituídos para estas actividades</t>
  </si>
  <si>
    <t>CONSTANCIA DE PRESTACION DE SERVICIOS DE SUPERVISIÓN N° DSHL-51-2018</t>
  </si>
  <si>
    <t>Contrato de Locación de Servicios N° SUP1600240</t>
  </si>
  <si>
    <t>Segunda Addenda al Contrato de Locación de Servicios N° SUP1600240</t>
  </si>
  <si>
    <t xml:space="preserve">Consultorias y Servicios Ingenieros y Abogados S.A.C.: 30% en Promesa de Consorcio. 
20% en Contratos de Consorcio del Contrato de Locación de Servicios N° SUP1600240.
</t>
  </si>
  <si>
    <t>Contrato N° 3700001798</t>
  </si>
  <si>
    <t>Mantenimiento de Intercambiadores y Aeroenfriadores durante la parada de planta</t>
  </si>
  <si>
    <t>FAC. E001-264</t>
  </si>
  <si>
    <t>FAC. E001-253</t>
  </si>
  <si>
    <t>131, 134</t>
  </si>
  <si>
    <t>135, 137</t>
  </si>
  <si>
    <t>FAC. E001-252</t>
  </si>
  <si>
    <t>138, 140</t>
  </si>
  <si>
    <t>FAC. E001-247</t>
  </si>
  <si>
    <t>141, 143</t>
  </si>
  <si>
    <t>FAC. E001-240</t>
  </si>
  <si>
    <t>144, 146</t>
  </si>
  <si>
    <t>FAC. E001-237</t>
  </si>
  <si>
    <t>147, 149</t>
  </si>
  <si>
    <t>FAC. E001-235</t>
  </si>
  <si>
    <t>150, 152</t>
  </si>
  <si>
    <t>FAC. E001-234</t>
  </si>
  <si>
    <t>153, 155</t>
  </si>
  <si>
    <t>FAC. E001-233</t>
  </si>
  <si>
    <t>156, 158</t>
  </si>
  <si>
    <t>FAC. E001-225</t>
  </si>
  <si>
    <t>159, 162</t>
  </si>
  <si>
    <t>FAC. E001-224</t>
  </si>
  <si>
    <t>163, 166</t>
  </si>
  <si>
    <t>FAC. E001-223</t>
  </si>
  <si>
    <t>167, 170</t>
  </si>
  <si>
    <t>FAC. E001-222</t>
  </si>
  <si>
    <t>171, 174</t>
  </si>
  <si>
    <t>FAC. E001-221</t>
  </si>
  <si>
    <t>175, 178</t>
  </si>
  <si>
    <t>FAC. E001-220</t>
  </si>
  <si>
    <t>179, 182</t>
  </si>
  <si>
    <t>FAC. E001-219</t>
  </si>
  <si>
    <t>183, 186</t>
  </si>
  <si>
    <t>FAC. E001-218</t>
  </si>
  <si>
    <t>187, 190</t>
  </si>
  <si>
    <t>FAC. E001-217</t>
  </si>
  <si>
    <t>191, 194</t>
  </si>
  <si>
    <t>FAC. E001-216</t>
  </si>
  <si>
    <t>195, 198</t>
  </si>
  <si>
    <t>FAC. E001-215</t>
  </si>
  <si>
    <t>199, 202</t>
  </si>
  <si>
    <t>FAC. E001-214</t>
  </si>
  <si>
    <t>203, 206</t>
  </si>
  <si>
    <t>FAC. E001-213</t>
  </si>
  <si>
    <t>207, 210</t>
  </si>
  <si>
    <t>FAC. E001-211</t>
  </si>
  <si>
    <t>211, 214</t>
  </si>
  <si>
    <t>FAC. E001-212</t>
  </si>
  <si>
    <t>215, 218</t>
  </si>
  <si>
    <t>FAC. E001-210</t>
  </si>
  <si>
    <t>219, 222</t>
  </si>
  <si>
    <t>FAC. E001-209</t>
  </si>
  <si>
    <t>223, 226</t>
  </si>
  <si>
    <t>FAC. E001-208</t>
  </si>
  <si>
    <t>227, 230</t>
  </si>
  <si>
    <t>FAC. E001-207</t>
  </si>
  <si>
    <t>231, 234</t>
  </si>
  <si>
    <t>FAC. E001-206</t>
  </si>
  <si>
    <t>235, 238</t>
  </si>
  <si>
    <t>FAC. E001-205</t>
  </si>
  <si>
    <t>239, 242</t>
  </si>
  <si>
    <t>FAC. E001-204</t>
  </si>
  <si>
    <t>243, 246</t>
  </si>
  <si>
    <t>FAC. E001-203</t>
  </si>
  <si>
    <t>247, 250</t>
  </si>
  <si>
    <t>FAC. E001-202</t>
  </si>
  <si>
    <t>248, 254</t>
  </si>
  <si>
    <t>FAC. E001-201</t>
  </si>
  <si>
    <t>255, 258</t>
  </si>
  <si>
    <t>FAC. E001-198</t>
  </si>
  <si>
    <t>259, 261</t>
  </si>
  <si>
    <t xml:space="preserve">I.C.B. Industrial E.I.R.L.: 80% en Promesa de Consorcio. </t>
  </si>
  <si>
    <t>REFINERIA LA PAMPILLA S.A.A.</t>
  </si>
  <si>
    <t>Contrato N° 3700000815</t>
  </si>
  <si>
    <t>FAC. E001-71</t>
  </si>
  <si>
    <t>314, 317</t>
  </si>
  <si>
    <t>FAC. E001-70</t>
  </si>
  <si>
    <t>318, 321</t>
  </si>
  <si>
    <t>FAC. E001-36</t>
  </si>
  <si>
    <t>322, 324</t>
  </si>
  <si>
    <t>FAC. E001-34</t>
  </si>
  <si>
    <t>325, 328</t>
  </si>
  <si>
    <t>FAC. E001-33</t>
  </si>
  <si>
    <t>329, 332</t>
  </si>
  <si>
    <t>FAC. E001-32</t>
  </si>
  <si>
    <t>333, 336</t>
  </si>
  <si>
    <t>FAC. E001-31</t>
  </si>
  <si>
    <t>337, 340</t>
  </si>
  <si>
    <t>FAC. E001-30</t>
  </si>
  <si>
    <t>341, 343</t>
  </si>
  <si>
    <t>FAC. E001-27</t>
  </si>
  <si>
    <t>344, 346</t>
  </si>
  <si>
    <t>FAC. E001-13</t>
  </si>
  <si>
    <t>347, 351</t>
  </si>
  <si>
    <t>FAC. E001-12</t>
  </si>
  <si>
    <t>352, 356</t>
  </si>
  <si>
    <t>FAC. E001-11</t>
  </si>
  <si>
    <t>357, 361</t>
  </si>
  <si>
    <t>FAC. E001-8</t>
  </si>
  <si>
    <t>362, 366</t>
  </si>
  <si>
    <t>FAC. E001-7</t>
  </si>
  <si>
    <t>367, 370</t>
  </si>
  <si>
    <t>FAC. E001-6</t>
  </si>
  <si>
    <t>371, 374</t>
  </si>
  <si>
    <t>FAC. E001-4</t>
  </si>
  <si>
    <t>375, 378</t>
  </si>
  <si>
    <t>FAC. E001-3</t>
  </si>
  <si>
    <t>379, 382</t>
  </si>
  <si>
    <t>FAC. E001-2</t>
  </si>
  <si>
    <t>383, 386</t>
  </si>
  <si>
    <t>FAC. 002-002164</t>
  </si>
  <si>
    <t>387, 391</t>
  </si>
  <si>
    <t>FAC. 002-002160</t>
  </si>
  <si>
    <t>392, 396</t>
  </si>
  <si>
    <t>FAC. 002-002159</t>
  </si>
  <si>
    <t>393, 401</t>
  </si>
  <si>
    <t>FAC. 002-002158</t>
  </si>
  <si>
    <t>402, 406</t>
  </si>
  <si>
    <t>FAC. 002-002157</t>
  </si>
  <si>
    <t>407, 411</t>
  </si>
  <si>
    <t>FAC. 002-002155</t>
  </si>
  <si>
    <t>412, 416</t>
  </si>
  <si>
    <t>FAC. 002-002151</t>
  </si>
  <si>
    <t>417, 421</t>
  </si>
  <si>
    <t>FAC. 002-002092</t>
  </si>
  <si>
    <t>422, 425</t>
  </si>
  <si>
    <t>FAC. 002-002091</t>
  </si>
  <si>
    <t>426, 429</t>
  </si>
  <si>
    <t>FAC. 002-002090</t>
  </si>
  <si>
    <t>430, 433</t>
  </si>
  <si>
    <t>FAC. 002-002089</t>
  </si>
  <si>
    <t>434, 437</t>
  </si>
  <si>
    <t>FAC. 002-002084</t>
  </si>
  <si>
    <t>438, 441</t>
  </si>
  <si>
    <t>FAC. 002-002083</t>
  </si>
  <si>
    <t>442, 445</t>
  </si>
  <si>
    <t>FAC. 002-002082</t>
  </si>
  <si>
    <t>446, 449</t>
  </si>
  <si>
    <t>FAC. 002-002081</t>
  </si>
  <si>
    <t>450, 453</t>
  </si>
  <si>
    <t>FAC. 002-002080</t>
  </si>
  <si>
    <t>454, 457</t>
  </si>
  <si>
    <t>FAC. 002-002079</t>
  </si>
  <si>
    <t>458, 461</t>
  </si>
  <si>
    <t>FAC. 002-002077</t>
  </si>
  <si>
    <t>462, 465</t>
  </si>
  <si>
    <t>FAC. 002-002076</t>
  </si>
  <si>
    <t>466, 469</t>
  </si>
  <si>
    <t>FAC. 002-002075</t>
  </si>
  <si>
    <t>470, 473</t>
  </si>
  <si>
    <t>FAC. 002-002074</t>
  </si>
  <si>
    <t>474, 477</t>
  </si>
  <si>
    <t>FAC. 002-002067</t>
  </si>
  <si>
    <t>478, 481</t>
  </si>
  <si>
    <t>FAC. 002-002053</t>
  </si>
  <si>
    <t>482, 485</t>
  </si>
  <si>
    <t>FAC. 002-002047</t>
  </si>
  <si>
    <t>486, 490</t>
  </si>
  <si>
    <t>Mantenimiento de Intercambiadores y Aeroenfriadores durante la parada de planta en RELAPASA</t>
  </si>
  <si>
    <t>Servicio de Fabricación y Reparación de Aerorefrigerantes</t>
  </si>
  <si>
    <t>PETROPERU S.A.</t>
  </si>
  <si>
    <t>Orden de Trabajo a Terceros N° 4100008907</t>
  </si>
  <si>
    <t>FAC. E001-64</t>
  </si>
  <si>
    <t>497, 500</t>
  </si>
  <si>
    <t>FAC. E001-75</t>
  </si>
  <si>
    <t>507, 509</t>
  </si>
  <si>
    <t>FAC. E001-74</t>
  </si>
  <si>
    <t>516, 518</t>
  </si>
  <si>
    <t>Mantenmimiento e Inspección</t>
  </si>
  <si>
    <t>FAC. E001-265</t>
  </si>
  <si>
    <t>527, 530</t>
  </si>
  <si>
    <t>FAC. E001-299</t>
  </si>
  <si>
    <t xml:space="preserve">Mantenmimiento </t>
  </si>
  <si>
    <t>569, 572</t>
  </si>
  <si>
    <t>Brindar servicios profesionales de supervisión en el departamento de Madre de Dios y en zonas estrategicas de los departamentos colindantes</t>
  </si>
  <si>
    <t>CONSTANCIA DE PRESTACION DE SERVICIOS DE SUPERVISIÓN N° 001PJ/2016-GOP</t>
  </si>
  <si>
    <t>Contrato de Locación de Servicios N° 001PJ/2016-GOP</t>
  </si>
  <si>
    <t xml:space="preserve">Brindar servicios profesionales de supervisión en el departamento de Madre de Dios </t>
  </si>
  <si>
    <t>CONSTANCIA DE PRESTACION DE SERVICIOS DE SUPERVISIÓN N° 001PJ/2014-GOP</t>
  </si>
  <si>
    <t>Contrato de Locación de Servicios N° 001PJ/2014-GOP</t>
  </si>
  <si>
    <t>No se puede determinar el monto prestado a partir del 04/06/2023.</t>
  </si>
  <si>
    <t>CONSTANCIA DE PRESTACION DE SERVICIOS DE SUPERVISIÓN N° 001PJ/2016-DSR</t>
  </si>
  <si>
    <t>Contrato de Locación de Servicios N° 001PJ/2016-DSR</t>
  </si>
  <si>
    <t>CONSTANCIA DE PRESTACION DE SERVICIOS DE SUPERVISIÓN N° DSR-37</t>
  </si>
  <si>
    <t>Contrato de Locación de Servicios N° SUP1600238</t>
  </si>
  <si>
    <t xml:space="preserve">Brindar servicios profesionales de supervisión </t>
  </si>
  <si>
    <t>CONSTANCIA DE PRESTACION DE SERVICIOS DE SUPERVISIÓN N° DSR-130</t>
  </si>
  <si>
    <t>Contrato de Locación de Servicios N° SUP1700006</t>
  </si>
  <si>
    <t>Brindar servicios profesionales de supervisión y fiscalización de las actividades vinculadas al subsector hidrocarburos</t>
  </si>
  <si>
    <t>CONSTANCIA DE PRESTACION DE SERVICIOS DE SUPERVISIÓN N° DSHL-38-2021</t>
  </si>
  <si>
    <t>Contrato de Locación de Servicios N° SUP1800010</t>
  </si>
  <si>
    <t>Cuarta Addenda Contrato de Locación de Servicios N° SUP1800010</t>
  </si>
  <si>
    <t>Quinta Addenda Contrato de Locación de Servicios N° SUP1800010</t>
  </si>
  <si>
    <t>Propuesta Ecónomica</t>
  </si>
  <si>
    <t>2.59 veces el valor referencial.</t>
  </si>
  <si>
    <t>2.52 veces el valor referencial.</t>
  </si>
  <si>
    <t>2.98 veces el valor referencial.</t>
  </si>
  <si>
    <t>PUNTAJE TOTAL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</si>
</sst>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S/&quot;\ * #,##0.00_-;\-&quot;S/&quot;\ * #,##0.00_-;_-&quot;S/&quot;\ * &quot;-&quot;??_-;_-@_-"/>
    <numFmt numFmtId="164" formatCode="_-&quot;S/&quot;* #,##0.00_-;\-&quot;S/&quot;* #,##0.00_-;_-&quot;S/&quot;* &quot;-&quot;??_-;_-@_-"/>
    <numFmt numFmtId="165" formatCode="0.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2" borderId="8" xfId="0" applyFont="1" applyFill="1" applyBorder="1"/>
    <xf numFmtId="0" fontId="0" fillId="0" borderId="0" xfId="0" applyAlignment="1">
      <alignment vertical="top" wrapText="1"/>
    </xf>
    <xf numFmtId="0" fontId="0" fillId="2" borderId="0" xfId="0" applyFill="1"/>
    <xf numFmtId="4" fontId="3" fillId="2" borderId="0" xfId="0" applyNumberFormat="1" applyFont="1" applyFill="1"/>
    <xf numFmtId="164" fontId="3" fillId="4" borderId="0" xfId="0" applyNumberFormat="1" applyFont="1" applyFill="1"/>
    <xf numFmtId="164" fontId="8" fillId="4" borderId="0" xfId="0" applyNumberFormat="1" applyFont="1" applyFill="1"/>
    <xf numFmtId="166" fontId="5" fillId="5" borderId="2" xfId="0" applyNumberFormat="1" applyFont="1" applyFill="1" applyBorder="1"/>
    <xf numFmtId="0" fontId="10" fillId="0" borderId="0" xfId="0" applyFont="1"/>
    <xf numFmtId="4" fontId="9" fillId="0" borderId="0" xfId="0" applyNumberFormat="1" applyFont="1"/>
    <xf numFmtId="2" fontId="10" fillId="0" borderId="0" xfId="0" applyNumberFormat="1" applyFont="1"/>
    <xf numFmtId="0" fontId="0" fillId="0" borderId="0" xfId="0" applyFont="1"/>
    <xf numFmtId="44" fontId="0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8" fillId="5" borderId="8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/>
    <xf numFmtId="0" fontId="3" fillId="0" borderId="10" xfId="0" applyFont="1" applyBorder="1" applyAlignment="1">
      <alignment horizontal="center" vertical="center"/>
    </xf>
    <xf numFmtId="4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44" fontId="0" fillId="4" borderId="0" xfId="0" applyNumberFormat="1" applyFill="1"/>
    <xf numFmtId="44" fontId="3" fillId="4" borderId="0" xfId="0" applyNumberFormat="1" applyFont="1" applyFill="1"/>
    <xf numFmtId="4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0" fillId="3" borderId="11" xfId="0" applyNumberFormat="1" applyFont="1" applyFill="1" applyBorder="1" applyAlignment="1">
      <alignment horizontal="center" vertical="center"/>
    </xf>
    <xf numFmtId="1" fontId="0" fillId="3" borderId="11" xfId="0" applyNumberFormat="1" applyFont="1" applyFill="1" applyBorder="1" applyAlignment="1">
      <alignment horizontal="center" vertical="center"/>
    </xf>
    <xf numFmtId="44" fontId="0" fillId="3" borderId="11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44" fontId="0" fillId="3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/>
    <xf numFmtId="2" fontId="0" fillId="0" borderId="0" xfId="0" applyNumberFormat="1"/>
    <xf numFmtId="0" fontId="3" fillId="0" borderId="10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4" fontId="0" fillId="6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4" fontId="0" fillId="0" borderId="0" xfId="0" applyNumberFormat="1" applyAlignment="1">
      <alignment wrapText="1"/>
    </xf>
    <xf numFmtId="0" fontId="0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3" borderId="10" xfId="0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4" fillId="3" borderId="0" xfId="0" applyFont="1" applyFill="1" applyAlignment="1">
      <alignment wrapText="1"/>
    </xf>
    <xf numFmtId="164" fontId="8" fillId="3" borderId="0" xfId="0" applyNumberFormat="1" applyFont="1" applyFill="1"/>
    <xf numFmtId="44" fontId="3" fillId="3" borderId="0" xfId="0" applyNumberFormat="1" applyFont="1" applyFill="1"/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/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zoomScale="63" zoomScaleNormal="63" workbookViewId="0">
      <selection activeCell="C10" sqref="C10:F10"/>
    </sheetView>
  </sheetViews>
  <sheetFormatPr baseColWidth="10" defaultRowHeight="14.5" x14ac:dyDescent="0.35"/>
  <cols>
    <col min="3" max="3" width="13.453125" customWidth="1"/>
    <col min="4" max="4" width="71.54296875" customWidth="1"/>
    <col min="5" max="5" width="24.453125" customWidth="1"/>
    <col min="6" max="6" width="22" customWidth="1"/>
    <col min="7" max="7" width="20.453125" customWidth="1"/>
    <col min="8" max="8" width="28.26953125" customWidth="1"/>
    <col min="9" max="9" width="20.453125" customWidth="1"/>
    <col min="10" max="10" width="28.26953125" customWidth="1"/>
    <col min="11" max="11" width="20.453125" customWidth="1"/>
    <col min="12" max="12" width="28.26953125" customWidth="1"/>
  </cols>
  <sheetData>
    <row r="2" spans="3:12" ht="15" customHeight="1" x14ac:dyDescent="0.35"/>
    <row r="3" spans="3:12" ht="110" customHeight="1" thickBot="1" x14ac:dyDescent="0.4">
      <c r="C3" s="4"/>
      <c r="E3" s="4"/>
      <c r="F3" s="15"/>
      <c r="G3" s="124" t="s">
        <v>36</v>
      </c>
      <c r="H3" s="125"/>
      <c r="I3" s="124" t="s">
        <v>37</v>
      </c>
      <c r="J3" s="125"/>
      <c r="K3" s="124" t="s">
        <v>35</v>
      </c>
      <c r="L3" s="125"/>
    </row>
    <row r="4" spans="3:12" ht="29.5" thickBot="1" x14ac:dyDescent="0.4">
      <c r="C4" s="1" t="s">
        <v>0</v>
      </c>
      <c r="D4" s="2" t="s">
        <v>1</v>
      </c>
      <c r="E4" s="3" t="s">
        <v>2</v>
      </c>
      <c r="F4" s="16" t="s">
        <v>15</v>
      </c>
      <c r="G4" s="16" t="s">
        <v>16</v>
      </c>
      <c r="H4" s="16" t="s">
        <v>17</v>
      </c>
      <c r="I4" s="16" t="s">
        <v>16</v>
      </c>
      <c r="J4" s="16" t="s">
        <v>17</v>
      </c>
      <c r="K4" s="16" t="s">
        <v>16</v>
      </c>
      <c r="L4" s="16" t="s">
        <v>17</v>
      </c>
    </row>
    <row r="5" spans="3:12" ht="15" thickBot="1" x14ac:dyDescent="0.4">
      <c r="C5" s="116" t="s">
        <v>26</v>
      </c>
      <c r="D5" s="117"/>
      <c r="E5" s="117"/>
      <c r="F5" s="117"/>
      <c r="H5" s="4"/>
      <c r="J5" s="4"/>
      <c r="L5" s="4"/>
    </row>
    <row r="6" spans="3:12" ht="118.5" customHeight="1" thickBot="1" x14ac:dyDescent="0.4">
      <c r="C6" s="118" t="s">
        <v>25</v>
      </c>
      <c r="D6" s="121" t="s">
        <v>29</v>
      </c>
      <c r="E6" s="7" t="s">
        <v>30</v>
      </c>
      <c r="F6" s="8">
        <v>100</v>
      </c>
      <c r="G6" s="126">
        <v>100</v>
      </c>
      <c r="H6" s="118" t="s">
        <v>280</v>
      </c>
      <c r="I6" s="126">
        <v>100</v>
      </c>
      <c r="J6" s="118" t="s">
        <v>281</v>
      </c>
      <c r="K6" s="126">
        <v>100</v>
      </c>
      <c r="L6" s="118" t="s">
        <v>282</v>
      </c>
    </row>
    <row r="7" spans="3:12" ht="118.5" customHeight="1" thickBot="1" x14ac:dyDescent="0.4">
      <c r="C7" s="119"/>
      <c r="D7" s="122"/>
      <c r="E7" s="7" t="s">
        <v>31</v>
      </c>
      <c r="F7" s="8">
        <v>95</v>
      </c>
      <c r="G7" s="127"/>
      <c r="H7" s="119"/>
      <c r="I7" s="127"/>
      <c r="J7" s="119"/>
      <c r="K7" s="127"/>
      <c r="L7" s="119"/>
    </row>
    <row r="8" spans="3:12" ht="120.5" customHeight="1" thickBot="1" x14ac:dyDescent="0.4">
      <c r="C8" s="119"/>
      <c r="D8" s="122"/>
      <c r="E8" s="7" t="s">
        <v>32</v>
      </c>
      <c r="F8" s="9">
        <v>85</v>
      </c>
      <c r="G8" s="127"/>
      <c r="H8" s="119"/>
      <c r="I8" s="127"/>
      <c r="J8" s="119"/>
      <c r="K8" s="127"/>
      <c r="L8" s="119"/>
    </row>
    <row r="9" spans="3:12" ht="90" customHeight="1" thickBot="1" x14ac:dyDescent="0.4">
      <c r="C9" s="120"/>
      <c r="D9" s="123"/>
      <c r="E9" s="10" t="s">
        <v>33</v>
      </c>
      <c r="F9" s="8">
        <v>80</v>
      </c>
      <c r="G9" s="128"/>
      <c r="H9" s="129"/>
      <c r="I9" s="128"/>
      <c r="J9" s="129"/>
      <c r="K9" s="128"/>
      <c r="L9" s="129"/>
    </row>
    <row r="10" spans="3:12" ht="19" thickBot="1" x14ac:dyDescent="0.5">
      <c r="C10" s="115" t="s">
        <v>283</v>
      </c>
      <c r="D10" s="115"/>
      <c r="E10" s="115"/>
      <c r="F10" s="115"/>
      <c r="G10" s="115">
        <f>+G6</f>
        <v>100</v>
      </c>
      <c r="H10" s="115"/>
      <c r="I10" s="115">
        <f>+I6</f>
        <v>100</v>
      </c>
      <c r="J10" s="115"/>
      <c r="K10" s="115">
        <f>+K6</f>
        <v>100</v>
      </c>
      <c r="L10" s="115"/>
    </row>
    <row r="14" spans="3:12" ht="15.5" x14ac:dyDescent="0.35">
      <c r="G14" s="25"/>
      <c r="H14" s="24"/>
      <c r="I14" s="25"/>
      <c r="J14" s="24"/>
      <c r="K14" s="25"/>
      <c r="L14" s="24"/>
    </row>
    <row r="15" spans="3:12" ht="15.5" x14ac:dyDescent="0.35">
      <c r="G15" s="25"/>
      <c r="H15" s="26"/>
      <c r="I15" s="25"/>
      <c r="J15" s="26"/>
      <c r="K15" s="25"/>
      <c r="L15" s="26"/>
    </row>
  </sheetData>
  <mergeCells count="16">
    <mergeCell ref="K3:L3"/>
    <mergeCell ref="K6:K9"/>
    <mergeCell ref="L6:L9"/>
    <mergeCell ref="K10:L10"/>
    <mergeCell ref="I3:J3"/>
    <mergeCell ref="I6:I9"/>
    <mergeCell ref="J6:J9"/>
    <mergeCell ref="I10:J10"/>
    <mergeCell ref="C10:F10"/>
    <mergeCell ref="C5:F5"/>
    <mergeCell ref="C6:C9"/>
    <mergeCell ref="D6:D9"/>
    <mergeCell ref="G3:H3"/>
    <mergeCell ref="G6:G9"/>
    <mergeCell ref="H6:H9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2"/>
  <sheetViews>
    <sheetView zoomScale="92" zoomScaleNormal="92" workbookViewId="0">
      <selection activeCell="F52" sqref="F52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4" bestFit="1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30" bestFit="1" customWidth="1"/>
    <col min="12" max="12" width="12.26953125" style="30" customWidth="1"/>
    <col min="13" max="13" width="10.7265625" style="12" customWidth="1"/>
    <col min="14" max="14" width="24.54296875" style="12" customWidth="1"/>
    <col min="15" max="15" width="13.36328125" style="53" bestFit="1" customWidth="1"/>
  </cols>
  <sheetData>
    <row r="2" spans="2:14" ht="32.15" customHeight="1" thickBot="1" x14ac:dyDescent="0.4">
      <c r="E2" s="146"/>
      <c r="F2" s="147"/>
      <c r="G2" s="147"/>
      <c r="H2" s="147"/>
      <c r="I2" s="147"/>
      <c r="J2" s="147"/>
      <c r="K2" s="147"/>
      <c r="L2" s="147"/>
      <c r="M2" s="147"/>
      <c r="N2"/>
    </row>
    <row r="3" spans="2:14" ht="15" thickBot="1" x14ac:dyDescent="0.4">
      <c r="B3" s="5" t="s">
        <v>3</v>
      </c>
      <c r="C3" s="5" t="s">
        <v>4</v>
      </c>
      <c r="D3" s="55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86" t="s">
        <v>48</v>
      </c>
      <c r="M3" s="45" t="s">
        <v>10</v>
      </c>
      <c r="N3" s="84" t="s">
        <v>17</v>
      </c>
    </row>
    <row r="4" spans="2:14" s="27" customFormat="1" ht="71" customHeight="1" thickBot="1" x14ac:dyDescent="0.4">
      <c r="B4" s="137">
        <v>1</v>
      </c>
      <c r="C4" s="130" t="s">
        <v>39</v>
      </c>
      <c r="D4" s="137" t="s">
        <v>24</v>
      </c>
      <c r="E4" s="64" t="s">
        <v>41</v>
      </c>
      <c r="F4" s="47">
        <v>42220</v>
      </c>
      <c r="G4" s="47"/>
      <c r="H4" s="65"/>
      <c r="I4" s="48">
        <v>449491.53</v>
      </c>
      <c r="J4" s="62"/>
      <c r="K4" s="88">
        <f>+I4*L4</f>
        <v>251715.2568</v>
      </c>
      <c r="L4" s="87">
        <f>0.8*0.7</f>
        <v>0.55999999999999994</v>
      </c>
      <c r="M4" s="62">
        <v>73</v>
      </c>
      <c r="N4" s="130" t="s">
        <v>49</v>
      </c>
    </row>
    <row r="5" spans="2:14" s="27" customFormat="1" ht="71" customHeight="1" thickBot="1" x14ac:dyDescent="0.4">
      <c r="B5" s="131"/>
      <c r="C5" s="138"/>
      <c r="D5" s="131"/>
      <c r="E5" s="64" t="s">
        <v>42</v>
      </c>
      <c r="F5" s="47"/>
      <c r="G5" s="47">
        <v>42585</v>
      </c>
      <c r="H5" s="65"/>
      <c r="I5" s="48">
        <v>449491.53</v>
      </c>
      <c r="J5" s="63"/>
      <c r="K5" s="88">
        <f t="shared" ref="K5:K9" si="0">+I5*L5</f>
        <v>251715.2568</v>
      </c>
      <c r="L5" s="87">
        <f t="shared" ref="L5:L10" si="1">0.8*0.7</f>
        <v>0.55999999999999994</v>
      </c>
      <c r="M5" s="63">
        <v>82</v>
      </c>
      <c r="N5" s="131"/>
    </row>
    <row r="6" spans="2:14" s="27" customFormat="1" ht="71" customHeight="1" thickBot="1" x14ac:dyDescent="0.4">
      <c r="B6" s="131"/>
      <c r="C6" s="138"/>
      <c r="D6" s="131"/>
      <c r="E6" s="64" t="s">
        <v>43</v>
      </c>
      <c r="F6" s="47"/>
      <c r="G6" s="47">
        <v>42950</v>
      </c>
      <c r="H6" s="65"/>
      <c r="I6" s="48">
        <v>308983.05</v>
      </c>
      <c r="J6" s="63"/>
      <c r="K6" s="88">
        <f t="shared" si="0"/>
        <v>173030.50799999997</v>
      </c>
      <c r="L6" s="87">
        <f t="shared" si="1"/>
        <v>0.55999999999999994</v>
      </c>
      <c r="M6" s="63">
        <v>84</v>
      </c>
      <c r="N6" s="131"/>
    </row>
    <row r="7" spans="2:14" s="27" customFormat="1" ht="71" customHeight="1" thickBot="1" x14ac:dyDescent="0.4">
      <c r="B7" s="131"/>
      <c r="C7" s="138"/>
      <c r="D7" s="131"/>
      <c r="E7" s="64" t="s">
        <v>44</v>
      </c>
      <c r="F7" s="47"/>
      <c r="G7" s="47">
        <v>43134</v>
      </c>
      <c r="H7" s="65"/>
      <c r="I7" s="48">
        <v>308983.05</v>
      </c>
      <c r="J7" s="63"/>
      <c r="K7" s="88">
        <f t="shared" si="0"/>
        <v>173030.50799999997</v>
      </c>
      <c r="L7" s="87">
        <f t="shared" si="1"/>
        <v>0.55999999999999994</v>
      </c>
      <c r="M7" s="63">
        <v>89</v>
      </c>
      <c r="N7" s="131"/>
    </row>
    <row r="8" spans="2:14" s="27" customFormat="1" ht="71" customHeight="1" thickBot="1" x14ac:dyDescent="0.4">
      <c r="B8" s="131"/>
      <c r="C8" s="138"/>
      <c r="D8" s="131"/>
      <c r="E8" s="64" t="s">
        <v>45</v>
      </c>
      <c r="F8" s="47"/>
      <c r="G8" s="47">
        <v>43254</v>
      </c>
      <c r="H8" s="65"/>
      <c r="I8" s="48">
        <v>205988.7</v>
      </c>
      <c r="J8" s="63"/>
      <c r="K8" s="88">
        <f t="shared" si="0"/>
        <v>115353.67199999999</v>
      </c>
      <c r="L8" s="87">
        <f t="shared" si="1"/>
        <v>0.55999999999999994</v>
      </c>
      <c r="M8" s="63">
        <v>92</v>
      </c>
      <c r="N8" s="131"/>
    </row>
    <row r="9" spans="2:14" s="27" customFormat="1" ht="71" customHeight="1" thickBot="1" x14ac:dyDescent="0.4">
      <c r="B9" s="131"/>
      <c r="C9" s="138"/>
      <c r="D9" s="131"/>
      <c r="E9" s="64" t="s">
        <v>46</v>
      </c>
      <c r="F9" s="47"/>
      <c r="G9" s="47">
        <v>43437</v>
      </c>
      <c r="H9" s="65"/>
      <c r="I9" s="48">
        <v>308983.05</v>
      </c>
      <c r="J9" s="63"/>
      <c r="K9" s="88">
        <f t="shared" si="0"/>
        <v>173030.50799999997</v>
      </c>
      <c r="L9" s="87">
        <f t="shared" si="1"/>
        <v>0.55999999999999994</v>
      </c>
      <c r="M9" s="63">
        <v>95</v>
      </c>
      <c r="N9" s="131"/>
    </row>
    <row r="10" spans="2:14" s="27" customFormat="1" ht="71" customHeight="1" thickBot="1" x14ac:dyDescent="0.4">
      <c r="B10" s="131"/>
      <c r="C10" s="138"/>
      <c r="D10" s="131"/>
      <c r="E10" s="64" t="s">
        <v>47</v>
      </c>
      <c r="F10" s="47"/>
      <c r="G10" s="47">
        <v>43558</v>
      </c>
      <c r="H10" s="65"/>
      <c r="I10" s="48">
        <v>205988.7</v>
      </c>
      <c r="J10" s="63"/>
      <c r="K10" s="88">
        <f>+I10*L10</f>
        <v>115353.67199999999</v>
      </c>
      <c r="L10" s="87">
        <f t="shared" si="1"/>
        <v>0.55999999999999994</v>
      </c>
      <c r="M10" s="63">
        <v>98</v>
      </c>
      <c r="N10" s="132"/>
    </row>
    <row r="11" spans="2:14" s="27" customFormat="1" ht="61.5" customHeight="1" thickBot="1" x14ac:dyDescent="0.4">
      <c r="B11" s="132"/>
      <c r="C11" s="139"/>
      <c r="D11" s="132"/>
      <c r="E11" s="33" t="s">
        <v>40</v>
      </c>
      <c r="F11" s="40">
        <v>42220</v>
      </c>
      <c r="G11" s="40">
        <v>43559</v>
      </c>
      <c r="H11" s="41">
        <f t="shared" ref="H11:H17" si="2">+G11-F11</f>
        <v>1339</v>
      </c>
      <c r="I11" s="42">
        <v>3005333.36</v>
      </c>
      <c r="J11" s="43" t="s">
        <v>34</v>
      </c>
      <c r="K11" s="46">
        <f>+I11*L11</f>
        <v>1682986.6816</v>
      </c>
      <c r="L11" s="89">
        <v>0.56000000000000005</v>
      </c>
      <c r="M11" s="43">
        <v>72</v>
      </c>
      <c r="N11" s="43"/>
    </row>
    <row r="12" spans="2:14" s="27" customFormat="1" ht="57.5" customHeight="1" thickBot="1" x14ac:dyDescent="0.4">
      <c r="B12" s="137">
        <v>2</v>
      </c>
      <c r="C12" s="130" t="s">
        <v>39</v>
      </c>
      <c r="D12" s="137" t="s">
        <v>24</v>
      </c>
      <c r="E12" s="64" t="s">
        <v>51</v>
      </c>
      <c r="F12" s="47">
        <v>43623</v>
      </c>
      <c r="G12" s="47"/>
      <c r="H12" s="65"/>
      <c r="I12" s="48">
        <v>308983.05</v>
      </c>
      <c r="J12" s="63"/>
      <c r="K12" s="88">
        <f>+L12*I12</f>
        <v>173030.508</v>
      </c>
      <c r="L12" s="87">
        <v>0.56000000000000005</v>
      </c>
      <c r="M12" s="63">
        <v>143</v>
      </c>
      <c r="N12" s="130" t="s">
        <v>55</v>
      </c>
    </row>
    <row r="13" spans="2:14" s="27" customFormat="1" ht="57.5" customHeight="1" thickBot="1" x14ac:dyDescent="0.4">
      <c r="B13" s="131"/>
      <c r="C13" s="138"/>
      <c r="D13" s="131"/>
      <c r="E13" s="64" t="s">
        <v>52</v>
      </c>
      <c r="F13" s="47"/>
      <c r="G13" s="47">
        <v>43896</v>
      </c>
      <c r="H13" s="65"/>
      <c r="I13" s="48">
        <v>154491.54</v>
      </c>
      <c r="J13" s="63"/>
      <c r="K13" s="88">
        <f t="shared" ref="K13:K16" si="3">+L13*I13</f>
        <v>86515.262400000007</v>
      </c>
      <c r="L13" s="87">
        <v>0.56000000000000005</v>
      </c>
      <c r="M13" s="63">
        <v>154</v>
      </c>
      <c r="N13" s="131"/>
    </row>
    <row r="14" spans="2:14" s="27" customFormat="1" ht="57.5" customHeight="1" thickBot="1" x14ac:dyDescent="0.4">
      <c r="B14" s="131"/>
      <c r="C14" s="138"/>
      <c r="D14" s="131"/>
      <c r="E14" s="64" t="s">
        <v>53</v>
      </c>
      <c r="F14" s="47"/>
      <c r="G14" s="47">
        <v>44049</v>
      </c>
      <c r="H14" s="65"/>
      <c r="I14" s="48">
        <v>257485.9</v>
      </c>
      <c r="J14" s="63"/>
      <c r="K14" s="88">
        <f t="shared" si="3"/>
        <v>144192.10400000002</v>
      </c>
      <c r="L14" s="87">
        <v>0.56000000000000005</v>
      </c>
      <c r="M14" s="63">
        <v>157</v>
      </c>
      <c r="N14" s="131"/>
    </row>
    <row r="15" spans="2:14" s="27" customFormat="1" ht="57.5" customHeight="1" thickBot="1" x14ac:dyDescent="0.4">
      <c r="B15" s="131"/>
      <c r="C15" s="138"/>
      <c r="D15" s="131"/>
      <c r="E15" s="64" t="s">
        <v>54</v>
      </c>
      <c r="F15" s="47"/>
      <c r="G15" s="47">
        <v>44233</v>
      </c>
      <c r="H15" s="65"/>
      <c r="I15" s="48">
        <v>308983.05</v>
      </c>
      <c r="J15" s="63"/>
      <c r="K15" s="88">
        <f t="shared" si="3"/>
        <v>173030.508</v>
      </c>
      <c r="L15" s="87">
        <v>0.56000000000000005</v>
      </c>
      <c r="M15" s="63">
        <v>162</v>
      </c>
      <c r="N15" s="132"/>
    </row>
    <row r="16" spans="2:14" s="27" customFormat="1" ht="80" customHeight="1" thickBot="1" x14ac:dyDescent="0.4">
      <c r="B16" s="132"/>
      <c r="C16" s="139"/>
      <c r="D16" s="132"/>
      <c r="E16" s="33" t="s">
        <v>50</v>
      </c>
      <c r="F16" s="40">
        <v>43623</v>
      </c>
      <c r="G16" s="40">
        <v>44233</v>
      </c>
      <c r="H16" s="41">
        <f t="shared" si="2"/>
        <v>610</v>
      </c>
      <c r="I16" s="42">
        <v>1213159.96</v>
      </c>
      <c r="J16" s="43" t="s">
        <v>34</v>
      </c>
      <c r="K16" s="46">
        <f t="shared" si="3"/>
        <v>679369.57760000008</v>
      </c>
      <c r="L16" s="89">
        <v>0.56000000000000005</v>
      </c>
      <c r="M16" s="43">
        <v>142</v>
      </c>
      <c r="N16" s="43"/>
    </row>
    <row r="17" spans="2:14" s="27" customFormat="1" ht="152" customHeight="1" thickBot="1" x14ac:dyDescent="0.4">
      <c r="B17" s="137">
        <v>3</v>
      </c>
      <c r="C17" s="130" t="s">
        <v>39</v>
      </c>
      <c r="D17" s="137" t="s">
        <v>24</v>
      </c>
      <c r="E17" s="64" t="s">
        <v>57</v>
      </c>
      <c r="F17" s="47">
        <v>44272</v>
      </c>
      <c r="G17" s="47">
        <v>44455</v>
      </c>
      <c r="H17" s="65">
        <f t="shared" si="2"/>
        <v>183</v>
      </c>
      <c r="I17" s="48">
        <f>308983.05*1.18</f>
        <v>364599.99899999995</v>
      </c>
      <c r="J17" s="63"/>
      <c r="K17" s="28">
        <f t="shared" ref="K17:K30" si="4">+L17*I17</f>
        <v>204175.99943999999</v>
      </c>
      <c r="L17" s="87">
        <v>0.56000000000000005</v>
      </c>
      <c r="M17" s="63">
        <v>184</v>
      </c>
      <c r="N17" s="90" t="s">
        <v>58</v>
      </c>
    </row>
    <row r="18" spans="2:14" s="27" customFormat="1" ht="82.5" customHeight="1" thickBot="1" x14ac:dyDescent="0.4">
      <c r="B18" s="132"/>
      <c r="C18" s="139"/>
      <c r="D18" s="132"/>
      <c r="E18" s="33" t="s">
        <v>56</v>
      </c>
      <c r="F18" s="40">
        <v>44272</v>
      </c>
      <c r="G18" s="40">
        <v>44455</v>
      </c>
      <c r="H18" s="41">
        <f>+G18-F18</f>
        <v>183</v>
      </c>
      <c r="I18" s="42">
        <v>364507.93</v>
      </c>
      <c r="J18" s="43" t="s">
        <v>34</v>
      </c>
      <c r="K18" s="88">
        <f t="shared" si="4"/>
        <v>204124.44080000001</v>
      </c>
      <c r="L18" s="89">
        <v>0.56000000000000005</v>
      </c>
      <c r="M18" s="43">
        <v>183</v>
      </c>
      <c r="N18" s="43"/>
    </row>
    <row r="19" spans="2:14" s="44" customFormat="1" ht="82.5" customHeight="1" thickBot="1" x14ac:dyDescent="0.4">
      <c r="B19" s="140">
        <v>4</v>
      </c>
      <c r="C19" s="143" t="s">
        <v>59</v>
      </c>
      <c r="D19" s="140" t="s">
        <v>24</v>
      </c>
      <c r="E19" s="64" t="s">
        <v>61</v>
      </c>
      <c r="F19" s="47">
        <v>42220</v>
      </c>
      <c r="G19" s="47"/>
      <c r="H19" s="65"/>
      <c r="I19" s="48">
        <v>712711.86</v>
      </c>
      <c r="J19" s="63"/>
      <c r="K19" s="88">
        <f t="shared" si="4"/>
        <v>399118.64160000003</v>
      </c>
      <c r="L19" s="87">
        <v>0.56000000000000005</v>
      </c>
      <c r="M19" s="63">
        <v>184</v>
      </c>
      <c r="N19" s="143" t="s">
        <v>73</v>
      </c>
    </row>
    <row r="20" spans="2:14" s="44" customFormat="1" ht="82.5" customHeight="1" thickBot="1" x14ac:dyDescent="0.4">
      <c r="B20" s="141"/>
      <c r="C20" s="144"/>
      <c r="D20" s="141"/>
      <c r="E20" s="64" t="s">
        <v>62</v>
      </c>
      <c r="F20" s="47"/>
      <c r="G20" s="47">
        <v>42585</v>
      </c>
      <c r="H20" s="65"/>
      <c r="I20" s="48">
        <v>712711.86</v>
      </c>
      <c r="J20" s="63"/>
      <c r="K20" s="88">
        <f t="shared" si="4"/>
        <v>399118.64160000003</v>
      </c>
      <c r="L20" s="87">
        <v>0.56000000000000005</v>
      </c>
      <c r="M20" s="63">
        <v>217</v>
      </c>
      <c r="N20" s="141"/>
    </row>
    <row r="21" spans="2:14" s="44" customFormat="1" ht="82.5" customHeight="1" thickBot="1" x14ac:dyDescent="0.4">
      <c r="B21" s="141"/>
      <c r="C21" s="144"/>
      <c r="D21" s="141"/>
      <c r="E21" s="64" t="s">
        <v>63</v>
      </c>
      <c r="F21" s="47"/>
      <c r="G21" s="47">
        <v>42769</v>
      </c>
      <c r="H21" s="65"/>
      <c r="I21" s="48">
        <v>712711.86</v>
      </c>
      <c r="J21" s="63"/>
      <c r="K21" s="88">
        <f t="shared" si="4"/>
        <v>399118.64160000003</v>
      </c>
      <c r="L21" s="87">
        <v>0.56000000000000005</v>
      </c>
      <c r="M21" s="80">
        <v>222</v>
      </c>
      <c r="N21" s="141"/>
    </row>
    <row r="22" spans="2:14" s="44" customFormat="1" ht="82.5" customHeight="1" thickBot="1" x14ac:dyDescent="0.4">
      <c r="B22" s="141"/>
      <c r="C22" s="144"/>
      <c r="D22" s="141"/>
      <c r="E22" s="64" t="s">
        <v>64</v>
      </c>
      <c r="F22" s="47"/>
      <c r="G22" s="47">
        <v>42950</v>
      </c>
      <c r="H22" s="65"/>
      <c r="I22" s="48">
        <v>712711.86</v>
      </c>
      <c r="J22" s="63"/>
      <c r="K22" s="88">
        <f t="shared" si="4"/>
        <v>399118.64160000003</v>
      </c>
      <c r="L22" s="87">
        <v>0.56000000000000005</v>
      </c>
      <c r="M22" s="80">
        <v>224</v>
      </c>
      <c r="N22" s="141"/>
    </row>
    <row r="23" spans="2:14" s="44" customFormat="1" ht="82.5" customHeight="1" thickBot="1" x14ac:dyDescent="0.4">
      <c r="B23" s="141"/>
      <c r="C23" s="144"/>
      <c r="D23" s="141"/>
      <c r="E23" s="64" t="s">
        <v>65</v>
      </c>
      <c r="F23" s="47"/>
      <c r="G23" s="47">
        <v>43134</v>
      </c>
      <c r="H23" s="65"/>
      <c r="I23" s="48">
        <v>712711.86</v>
      </c>
      <c r="J23" s="63"/>
      <c r="K23" s="88">
        <f t="shared" si="4"/>
        <v>399118.64160000003</v>
      </c>
      <c r="L23" s="87">
        <v>0.56000000000000005</v>
      </c>
      <c r="M23" s="80">
        <v>230</v>
      </c>
      <c r="N23" s="141"/>
    </row>
    <row r="24" spans="2:14" s="44" customFormat="1" ht="82.5" customHeight="1" thickBot="1" x14ac:dyDescent="0.4">
      <c r="B24" s="141"/>
      <c r="C24" s="144"/>
      <c r="D24" s="141"/>
      <c r="E24" s="64" t="s">
        <v>66</v>
      </c>
      <c r="F24" s="47"/>
      <c r="G24" s="47">
        <v>43315</v>
      </c>
      <c r="H24" s="65"/>
      <c r="I24" s="48">
        <v>712711.86</v>
      </c>
      <c r="J24" s="63"/>
      <c r="K24" s="88">
        <f t="shared" si="4"/>
        <v>399118.64160000003</v>
      </c>
      <c r="L24" s="87">
        <v>0.56000000000000005</v>
      </c>
      <c r="M24" s="80">
        <v>233</v>
      </c>
      <c r="N24" s="141"/>
    </row>
    <row r="25" spans="2:14" s="44" customFormat="1" ht="82.5" customHeight="1" thickBot="1" x14ac:dyDescent="0.4">
      <c r="B25" s="141"/>
      <c r="C25" s="144"/>
      <c r="D25" s="141"/>
      <c r="E25" s="64" t="s">
        <v>67</v>
      </c>
      <c r="F25" s="47"/>
      <c r="G25" s="47">
        <v>43499</v>
      </c>
      <c r="H25" s="65"/>
      <c r="I25" s="48">
        <v>712711.86</v>
      </c>
      <c r="J25" s="63"/>
      <c r="K25" s="88">
        <f t="shared" si="4"/>
        <v>399118.64160000003</v>
      </c>
      <c r="L25" s="87">
        <v>0.56000000000000005</v>
      </c>
      <c r="M25" s="80">
        <v>236</v>
      </c>
      <c r="N25" s="141"/>
    </row>
    <row r="26" spans="2:14" s="44" customFormat="1" ht="82.5" customHeight="1" thickBot="1" x14ac:dyDescent="0.4">
      <c r="B26" s="141"/>
      <c r="C26" s="144"/>
      <c r="D26" s="141"/>
      <c r="E26" s="64" t="s">
        <v>68</v>
      </c>
      <c r="F26" s="47"/>
      <c r="G26" s="47">
        <v>43588</v>
      </c>
      <c r="H26" s="65"/>
      <c r="I26" s="48">
        <v>356355.93</v>
      </c>
      <c r="J26" s="63"/>
      <c r="K26" s="88">
        <f t="shared" si="4"/>
        <v>199559.32080000002</v>
      </c>
      <c r="L26" s="87">
        <v>0.56000000000000005</v>
      </c>
      <c r="M26" s="80">
        <v>240</v>
      </c>
      <c r="N26" s="141"/>
    </row>
    <row r="27" spans="2:14" s="44" customFormat="1" ht="82.5" customHeight="1" thickBot="1" x14ac:dyDescent="0.4">
      <c r="B27" s="141"/>
      <c r="C27" s="144"/>
      <c r="D27" s="141"/>
      <c r="E27" s="64" t="s">
        <v>69</v>
      </c>
      <c r="F27" s="47"/>
      <c r="G27" s="47">
        <v>43772</v>
      </c>
      <c r="H27" s="65"/>
      <c r="I27" s="48">
        <v>712711.86</v>
      </c>
      <c r="J27" s="63"/>
      <c r="K27" s="88">
        <f t="shared" si="4"/>
        <v>399118.64160000003</v>
      </c>
      <c r="L27" s="87">
        <v>0.56000000000000005</v>
      </c>
      <c r="M27" s="80">
        <v>249</v>
      </c>
      <c r="N27" s="141"/>
    </row>
    <row r="28" spans="2:14" s="44" customFormat="1" ht="82.5" customHeight="1" thickBot="1" x14ac:dyDescent="0.4">
      <c r="B28" s="141"/>
      <c r="C28" s="144"/>
      <c r="D28" s="141"/>
      <c r="E28" s="64" t="s">
        <v>70</v>
      </c>
      <c r="F28" s="47"/>
      <c r="G28" s="47">
        <v>43864</v>
      </c>
      <c r="H28" s="65"/>
      <c r="I28" s="48">
        <v>356355.93</v>
      </c>
      <c r="J28" s="63"/>
      <c r="K28" s="88">
        <f t="shared" si="4"/>
        <v>199559.32080000002</v>
      </c>
      <c r="L28" s="87">
        <v>0.56000000000000005</v>
      </c>
      <c r="M28" s="80">
        <v>253</v>
      </c>
      <c r="N28" s="141"/>
    </row>
    <row r="29" spans="2:14" s="44" customFormat="1" ht="82.5" customHeight="1" thickBot="1" x14ac:dyDescent="0.4">
      <c r="B29" s="141"/>
      <c r="C29" s="144"/>
      <c r="D29" s="141"/>
      <c r="E29" s="64" t="s">
        <v>71</v>
      </c>
      <c r="F29" s="47"/>
      <c r="G29" s="47">
        <v>43985</v>
      </c>
      <c r="H29" s="65"/>
      <c r="I29" s="48">
        <v>475141.24</v>
      </c>
      <c r="J29" s="63"/>
      <c r="K29" s="88">
        <f t="shared" si="4"/>
        <v>266079.0944</v>
      </c>
      <c r="L29" s="87">
        <v>0.56000000000000005</v>
      </c>
      <c r="M29" s="80">
        <v>258</v>
      </c>
      <c r="N29" s="141"/>
    </row>
    <row r="30" spans="2:14" s="44" customFormat="1" ht="82.5" customHeight="1" thickBot="1" x14ac:dyDescent="0.4">
      <c r="B30" s="141"/>
      <c r="C30" s="144"/>
      <c r="D30" s="141"/>
      <c r="E30" s="64" t="s">
        <v>72</v>
      </c>
      <c r="F30" s="47"/>
      <c r="G30" s="47">
        <v>44168</v>
      </c>
      <c r="H30" s="65"/>
      <c r="I30" s="48">
        <v>712711.86</v>
      </c>
      <c r="J30" s="63"/>
      <c r="K30" s="88">
        <f t="shared" si="4"/>
        <v>399118.64160000003</v>
      </c>
      <c r="L30" s="87">
        <v>0.56000000000000005</v>
      </c>
      <c r="M30" s="80">
        <v>262</v>
      </c>
      <c r="N30" s="142"/>
    </row>
    <row r="31" spans="2:14" s="44" customFormat="1" ht="82.5" customHeight="1" thickBot="1" x14ac:dyDescent="0.4">
      <c r="B31" s="142"/>
      <c r="C31" s="145"/>
      <c r="D31" s="142"/>
      <c r="E31" s="33" t="s">
        <v>60</v>
      </c>
      <c r="F31" s="40">
        <v>42220</v>
      </c>
      <c r="G31" s="40">
        <v>44168</v>
      </c>
      <c r="H31" s="41">
        <f t="shared" ref="H31:H33" si="5">+G31-F31</f>
        <v>1948</v>
      </c>
      <c r="I31" s="42">
        <v>8855059.3200000003</v>
      </c>
      <c r="J31" s="43" t="s">
        <v>34</v>
      </c>
      <c r="K31" s="46">
        <f t="shared" ref="K31" si="6">+L31*I31</f>
        <v>4958833.2192000011</v>
      </c>
      <c r="L31" s="89">
        <v>0.56000000000000005</v>
      </c>
      <c r="M31" s="43">
        <v>205</v>
      </c>
      <c r="N31" s="43"/>
    </row>
    <row r="32" spans="2:14" s="27" customFormat="1" ht="143" customHeight="1" thickBot="1" x14ac:dyDescent="0.4">
      <c r="B32" s="137">
        <v>5</v>
      </c>
      <c r="C32" s="130" t="s">
        <v>59</v>
      </c>
      <c r="D32" s="137" t="s">
        <v>24</v>
      </c>
      <c r="E32" s="64" t="s">
        <v>75</v>
      </c>
      <c r="F32" s="47">
        <v>44200</v>
      </c>
      <c r="G32" s="47">
        <v>44380</v>
      </c>
      <c r="H32" s="65">
        <f t="shared" si="5"/>
        <v>180</v>
      </c>
      <c r="I32" s="48">
        <f>712711.86*1.18</f>
        <v>840999.99479999999</v>
      </c>
      <c r="J32" s="63"/>
      <c r="K32" s="28">
        <f t="shared" ref="K32" si="7">+I32</f>
        <v>840999.99479999999</v>
      </c>
      <c r="L32" s="87">
        <v>0.56000000000000005</v>
      </c>
      <c r="M32" s="63">
        <v>328</v>
      </c>
      <c r="N32" s="90" t="s">
        <v>76</v>
      </c>
    </row>
    <row r="33" spans="2:14" s="27" customFormat="1" ht="80" customHeight="1" thickBot="1" x14ac:dyDescent="0.4">
      <c r="B33" s="132"/>
      <c r="C33" s="139"/>
      <c r="D33" s="132"/>
      <c r="E33" s="33" t="s">
        <v>74</v>
      </c>
      <c r="F33" s="40">
        <v>44200</v>
      </c>
      <c r="G33" s="40">
        <v>44380</v>
      </c>
      <c r="H33" s="41">
        <f t="shared" si="5"/>
        <v>180</v>
      </c>
      <c r="I33" s="42">
        <v>825022.11</v>
      </c>
      <c r="J33" s="43" t="s">
        <v>34</v>
      </c>
      <c r="K33" s="88">
        <f>+I33*L33</f>
        <v>462012.38160000002</v>
      </c>
      <c r="L33" s="89">
        <v>0.56000000000000005</v>
      </c>
      <c r="M33" s="43">
        <v>327</v>
      </c>
      <c r="N33" s="43"/>
    </row>
    <row r="34" spans="2:14" s="44" customFormat="1" ht="136.5" customHeight="1" thickBot="1" x14ac:dyDescent="0.4">
      <c r="B34" s="137">
        <v>6</v>
      </c>
      <c r="C34" s="130" t="s">
        <v>77</v>
      </c>
      <c r="D34" s="137" t="s">
        <v>24</v>
      </c>
      <c r="E34" s="64" t="s">
        <v>79</v>
      </c>
      <c r="F34" s="47">
        <v>44004</v>
      </c>
      <c r="G34" s="47">
        <v>44125</v>
      </c>
      <c r="H34" s="65">
        <f t="shared" ref="H34:H35" si="8">+G34-F34</f>
        <v>121</v>
      </c>
      <c r="I34" s="48">
        <v>1133502.3400000001</v>
      </c>
      <c r="J34" s="63"/>
      <c r="K34" s="28">
        <f t="shared" ref="K34" si="9">+I34</f>
        <v>1133502.3400000001</v>
      </c>
      <c r="L34" s="87"/>
      <c r="M34" s="63">
        <v>356</v>
      </c>
      <c r="N34" s="90"/>
    </row>
    <row r="35" spans="2:14" s="44" customFormat="1" ht="82.5" customHeight="1" thickBot="1" x14ac:dyDescent="0.4">
      <c r="B35" s="132"/>
      <c r="C35" s="139"/>
      <c r="D35" s="132"/>
      <c r="E35" s="33" t="s">
        <v>78</v>
      </c>
      <c r="F35" s="40">
        <v>44004</v>
      </c>
      <c r="G35" s="40">
        <v>44125</v>
      </c>
      <c r="H35" s="41">
        <f t="shared" si="8"/>
        <v>121</v>
      </c>
      <c r="I35" s="42">
        <v>1002239.15</v>
      </c>
      <c r="J35" s="43" t="s">
        <v>34</v>
      </c>
      <c r="K35" s="88">
        <f>+I35</f>
        <v>1002239.15</v>
      </c>
      <c r="L35" s="89"/>
      <c r="M35" s="43">
        <v>355</v>
      </c>
      <c r="N35" s="43"/>
    </row>
    <row r="36" spans="2:14" s="44" customFormat="1" ht="82.5" customHeight="1" thickBot="1" x14ac:dyDescent="0.4">
      <c r="B36" s="137">
        <v>7</v>
      </c>
      <c r="C36" s="130" t="s">
        <v>80</v>
      </c>
      <c r="D36" s="137" t="s">
        <v>24</v>
      </c>
      <c r="E36" s="64" t="s">
        <v>82</v>
      </c>
      <c r="F36" s="47">
        <v>42661</v>
      </c>
      <c r="G36" s="47"/>
      <c r="H36" s="65"/>
      <c r="I36" s="48">
        <v>4377254</v>
      </c>
      <c r="J36" s="63"/>
      <c r="K36" s="88">
        <f>+L36*I36</f>
        <v>262635.24</v>
      </c>
      <c r="L36" s="87">
        <f>0.3*0.2</f>
        <v>0.06</v>
      </c>
      <c r="M36" s="63">
        <v>428</v>
      </c>
      <c r="N36" s="130" t="s">
        <v>84</v>
      </c>
    </row>
    <row r="37" spans="2:14" s="44" customFormat="1" ht="82.5" customHeight="1" thickBot="1" x14ac:dyDescent="0.4">
      <c r="B37" s="131"/>
      <c r="C37" s="138"/>
      <c r="D37" s="131"/>
      <c r="E37" s="64" t="s">
        <v>83</v>
      </c>
      <c r="F37" s="47"/>
      <c r="G37" s="47">
        <v>43148</v>
      </c>
      <c r="H37" s="65"/>
      <c r="I37" s="48">
        <v>1459084.67</v>
      </c>
      <c r="J37" s="63"/>
      <c r="K37" s="88">
        <f t="shared" ref="K37:K38" si="10">+L37*I37</f>
        <v>87545.080199999997</v>
      </c>
      <c r="L37" s="87">
        <f t="shared" ref="L37:L38" si="11">0.3*0.2</f>
        <v>0.06</v>
      </c>
      <c r="M37" s="63">
        <v>440</v>
      </c>
      <c r="N37" s="139"/>
    </row>
    <row r="38" spans="2:14" s="44" customFormat="1" ht="82.5" customHeight="1" thickBot="1" x14ac:dyDescent="0.4">
      <c r="B38" s="132"/>
      <c r="C38" s="139"/>
      <c r="D38" s="132"/>
      <c r="E38" s="33" t="s">
        <v>81</v>
      </c>
      <c r="F38" s="40">
        <v>42661</v>
      </c>
      <c r="G38" s="40">
        <v>43148</v>
      </c>
      <c r="H38" s="41">
        <f t="shared" ref="H38" si="12">+G38-F38</f>
        <v>487</v>
      </c>
      <c r="I38" s="42">
        <v>5836338.6699999999</v>
      </c>
      <c r="J38" s="43" t="s">
        <v>34</v>
      </c>
      <c r="K38" s="46">
        <f t="shared" si="10"/>
        <v>350180.32019999996</v>
      </c>
      <c r="L38" s="89">
        <f t="shared" si="11"/>
        <v>0.06</v>
      </c>
      <c r="M38" s="43">
        <v>427</v>
      </c>
      <c r="N38" s="43"/>
    </row>
    <row r="39" spans="2:14" s="44" customFormat="1" ht="82.5" customHeight="1" thickBot="1" x14ac:dyDescent="0.4">
      <c r="B39" s="91"/>
      <c r="C39" s="92"/>
      <c r="D39" s="91"/>
      <c r="E39" s="78"/>
      <c r="F39" s="47"/>
      <c r="G39" s="47"/>
      <c r="H39" s="79"/>
      <c r="I39" s="48"/>
      <c r="J39" s="80"/>
      <c r="K39" s="81"/>
      <c r="L39" s="93"/>
      <c r="M39" s="80"/>
      <c r="N39" s="80"/>
    </row>
    <row r="40" spans="2:14" s="44" customFormat="1" ht="82.5" customHeight="1" thickBot="1" x14ac:dyDescent="0.4">
      <c r="B40" s="91"/>
      <c r="C40" s="92"/>
      <c r="D40" s="91"/>
      <c r="E40" s="78"/>
      <c r="F40" s="47"/>
      <c r="G40" s="47"/>
      <c r="H40" s="79"/>
      <c r="I40" s="48"/>
      <c r="J40" s="80"/>
      <c r="K40" s="81"/>
      <c r="L40" s="93"/>
      <c r="M40" s="80"/>
      <c r="N40" s="80"/>
    </row>
    <row r="41" spans="2:14" ht="18.5" x14ac:dyDescent="0.35">
      <c r="B41" s="6"/>
      <c r="C41" s="6"/>
      <c r="D41" s="56"/>
      <c r="E41" s="34"/>
      <c r="F41" s="13"/>
      <c r="G41" s="13"/>
      <c r="H41" s="11"/>
      <c r="I41" s="13"/>
      <c r="J41" s="13"/>
      <c r="K41" s="31"/>
      <c r="L41" s="31"/>
      <c r="M41" s="13"/>
      <c r="N41" s="13"/>
    </row>
    <row r="42" spans="2:14" ht="19" thickBot="1" x14ac:dyDescent="0.5">
      <c r="C42" s="133" t="s">
        <v>19</v>
      </c>
      <c r="D42" s="133"/>
      <c r="E42" s="133"/>
      <c r="F42" s="14"/>
      <c r="G42" s="50">
        <v>44740</v>
      </c>
      <c r="H42" s="49">
        <f>8*365</f>
        <v>2920</v>
      </c>
      <c r="I42" s="50">
        <f>+G42-H42</f>
        <v>41820</v>
      </c>
    </row>
    <row r="43" spans="2:14" ht="15" thickBot="1" x14ac:dyDescent="0.4">
      <c r="C43" s="17" t="s">
        <v>27</v>
      </c>
      <c r="D43" s="57">
        <v>3067564</v>
      </c>
      <c r="E43" s="66"/>
      <c r="F43" s="67"/>
      <c r="G43" s="68"/>
      <c r="H43" s="69"/>
    </row>
    <row r="44" spans="2:14" ht="15" thickBot="1" x14ac:dyDescent="0.4">
      <c r="C44" s="18" t="s">
        <v>13</v>
      </c>
      <c r="D44" s="58"/>
      <c r="E44" s="134" t="s">
        <v>38</v>
      </c>
      <c r="F44" s="135"/>
      <c r="G44" s="135"/>
      <c r="H44" s="136"/>
      <c r="I44" s="14"/>
      <c r="J44" s="14"/>
      <c r="K44" s="85"/>
      <c r="L44" s="85"/>
      <c r="M44" s="14"/>
      <c r="N44" s="14"/>
    </row>
    <row r="45" spans="2:14" x14ac:dyDescent="0.35">
      <c r="C45" t="s">
        <v>28</v>
      </c>
      <c r="D45" s="59">
        <f>+K4+K5+K6+K7+K8+K9+K10+K12+K13+K14+K18+K19+K20+K21+K22+K23+K24+K25+K26+K27+K28+K29+K30+K33+K35+K36+K37</f>
        <v>7932789.0589999994</v>
      </c>
    </row>
    <row r="46" spans="2:14" x14ac:dyDescent="0.35">
      <c r="C46" t="s">
        <v>14</v>
      </c>
      <c r="D46" s="60">
        <f>+D45/D43</f>
        <v>2.5860223483519822</v>
      </c>
      <c r="E46" s="61"/>
      <c r="F46" s="14"/>
      <c r="H46" s="14"/>
    </row>
    <row r="48" spans="2:14" x14ac:dyDescent="0.35">
      <c r="E48" s="36" t="s">
        <v>20</v>
      </c>
      <c r="F48" s="19"/>
      <c r="G48" s="20">
        <v>100</v>
      </c>
    </row>
    <row r="49" spans="5:14" x14ac:dyDescent="0.35">
      <c r="E49" s="37"/>
      <c r="F49"/>
      <c r="G49"/>
    </row>
    <row r="50" spans="5:14" x14ac:dyDescent="0.35">
      <c r="E50" s="38" t="s">
        <v>21</v>
      </c>
      <c r="F50" s="21"/>
      <c r="G50" s="51">
        <v>2730131.96</v>
      </c>
    </row>
    <row r="51" spans="5:14" x14ac:dyDescent="0.35">
      <c r="E51" s="37"/>
      <c r="F51"/>
      <c r="G51"/>
    </row>
    <row r="52" spans="5:14" x14ac:dyDescent="0.35">
      <c r="E52" s="38" t="s">
        <v>22</v>
      </c>
      <c r="F52" s="22">
        <v>2714794.14</v>
      </c>
      <c r="G52" s="52"/>
    </row>
    <row r="53" spans="5:14" x14ac:dyDescent="0.35">
      <c r="E53" s="37"/>
      <c r="F53"/>
      <c r="G53"/>
    </row>
    <row r="54" spans="5:14" x14ac:dyDescent="0.35">
      <c r="E54" s="36" t="s">
        <v>279</v>
      </c>
      <c r="F54" s="19"/>
      <c r="G54" s="20">
        <f>+F52/G50*100</f>
        <v>99.438202247191015</v>
      </c>
    </row>
    <row r="55" spans="5:14" ht="15" thickBot="1" x14ac:dyDescent="0.4">
      <c r="E55" s="37"/>
      <c r="F55"/>
      <c r="G55"/>
    </row>
    <row r="56" spans="5:14" ht="19" thickBot="1" x14ac:dyDescent="0.5">
      <c r="E56" s="39" t="s">
        <v>23</v>
      </c>
      <c r="F56" s="82">
        <f>+G48*0.8+G54*0.2</f>
        <v>99.887640449438209</v>
      </c>
      <c r="G56" s="23"/>
    </row>
    <row r="58" spans="5:14" x14ac:dyDescent="0.35">
      <c r="E58" s="37"/>
      <c r="F58"/>
      <c r="G58"/>
      <c r="H58"/>
      <c r="I58"/>
      <c r="J58"/>
      <c r="K58"/>
      <c r="L58"/>
      <c r="M58"/>
      <c r="N58"/>
    </row>
    <row r="59" spans="5:14" x14ac:dyDescent="0.35">
      <c r="E59" s="37"/>
      <c r="F59"/>
      <c r="G59"/>
      <c r="H59"/>
      <c r="I59"/>
      <c r="J59"/>
      <c r="K59"/>
      <c r="L59"/>
      <c r="M59"/>
      <c r="N59"/>
    </row>
    <row r="60" spans="5:14" x14ac:dyDescent="0.35">
      <c r="E60" s="37"/>
      <c r="F60"/>
      <c r="G60"/>
      <c r="H60"/>
      <c r="I60"/>
      <c r="J60"/>
      <c r="K60"/>
      <c r="L60"/>
      <c r="M60"/>
      <c r="N60"/>
    </row>
    <row r="61" spans="5:14" x14ac:dyDescent="0.35">
      <c r="E61" s="37"/>
      <c r="F61"/>
      <c r="G61"/>
      <c r="H61"/>
      <c r="I61"/>
      <c r="J61"/>
      <c r="K61"/>
      <c r="L61"/>
      <c r="M61"/>
      <c r="N61"/>
    </row>
    <row r="62" spans="5:14" x14ac:dyDescent="0.35">
      <c r="E62" s="37"/>
      <c r="F62"/>
      <c r="G62"/>
      <c r="H62"/>
      <c r="I62"/>
      <c r="J62"/>
      <c r="K62"/>
      <c r="L62"/>
      <c r="M62"/>
      <c r="N62"/>
    </row>
  </sheetData>
  <mergeCells count="28">
    <mergeCell ref="N36:N37"/>
    <mergeCell ref="B32:B33"/>
    <mergeCell ref="C32:C33"/>
    <mergeCell ref="D32:D33"/>
    <mergeCell ref="B34:B35"/>
    <mergeCell ref="C34:C35"/>
    <mergeCell ref="D34:D35"/>
    <mergeCell ref="E2:M2"/>
    <mergeCell ref="B17:B18"/>
    <mergeCell ref="B12:B16"/>
    <mergeCell ref="C12:C16"/>
    <mergeCell ref="D12:D16"/>
    <mergeCell ref="N4:N10"/>
    <mergeCell ref="N12:N15"/>
    <mergeCell ref="C42:E42"/>
    <mergeCell ref="E44:H44"/>
    <mergeCell ref="B4:B11"/>
    <mergeCell ref="C4:C11"/>
    <mergeCell ref="D4:D11"/>
    <mergeCell ref="C17:C18"/>
    <mergeCell ref="D17:D18"/>
    <mergeCell ref="B19:B31"/>
    <mergeCell ref="C19:C31"/>
    <mergeCell ref="D19:D31"/>
    <mergeCell ref="N19:N30"/>
    <mergeCell ref="B36:B38"/>
    <mergeCell ref="C36:C38"/>
    <mergeCell ref="D36:D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5"/>
  <sheetViews>
    <sheetView tabSelected="1" zoomScale="82" zoomScaleNormal="82" workbookViewId="0">
      <selection activeCell="M4" sqref="M4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4" bestFit="1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30" bestFit="1" customWidth="1"/>
    <col min="12" max="12" width="20.54296875" style="30" customWidth="1"/>
    <col min="13" max="13" width="10.7265625" style="12" customWidth="1"/>
    <col min="14" max="14" width="31.6328125" style="12" customWidth="1"/>
    <col min="15" max="15" width="13.36328125" style="53" bestFit="1" customWidth="1"/>
  </cols>
  <sheetData>
    <row r="2" spans="2:14" ht="32.15" customHeight="1" thickBot="1" x14ac:dyDescent="0.4">
      <c r="E2" s="146"/>
      <c r="F2" s="147"/>
      <c r="G2" s="147"/>
      <c r="H2" s="147"/>
      <c r="I2" s="147"/>
      <c r="J2" s="147"/>
      <c r="K2" s="147"/>
      <c r="L2" s="147"/>
      <c r="M2" s="147"/>
      <c r="N2"/>
    </row>
    <row r="3" spans="2:14" ht="15" thickBot="1" x14ac:dyDescent="0.4">
      <c r="B3" s="5" t="s">
        <v>3</v>
      </c>
      <c r="C3" s="5" t="s">
        <v>4</v>
      </c>
      <c r="D3" s="55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86" t="s">
        <v>48</v>
      </c>
      <c r="M3" s="45" t="s">
        <v>10</v>
      </c>
      <c r="N3" s="94" t="s">
        <v>17</v>
      </c>
    </row>
    <row r="4" spans="2:14" s="27" customFormat="1" ht="80" customHeight="1" thickBot="1" x14ac:dyDescent="0.4">
      <c r="B4" s="148">
        <v>1</v>
      </c>
      <c r="C4" s="151" t="s">
        <v>86</v>
      </c>
      <c r="D4" s="148" t="s">
        <v>158</v>
      </c>
      <c r="E4" s="64" t="s">
        <v>85</v>
      </c>
      <c r="F4" s="47">
        <v>44616</v>
      </c>
      <c r="G4" s="47"/>
      <c r="H4" s="65"/>
      <c r="I4" s="48">
        <f>4497500*1.18</f>
        <v>5307050</v>
      </c>
      <c r="J4" s="63"/>
      <c r="K4" s="28">
        <f>+L4*I4</f>
        <v>4245640</v>
      </c>
      <c r="L4" s="87">
        <v>0.8</v>
      </c>
      <c r="M4" s="63">
        <v>88</v>
      </c>
      <c r="N4" s="130" t="s">
        <v>157</v>
      </c>
    </row>
    <row r="5" spans="2:14" s="27" customFormat="1" ht="80" customHeight="1" thickBot="1" x14ac:dyDescent="0.4">
      <c r="B5" s="149"/>
      <c r="C5" s="152"/>
      <c r="D5" s="149"/>
      <c r="E5" s="78" t="s">
        <v>87</v>
      </c>
      <c r="F5" s="47"/>
      <c r="G5" s="47"/>
      <c r="H5" s="79"/>
      <c r="I5" s="48">
        <v>135700</v>
      </c>
      <c r="J5" s="80"/>
      <c r="K5" s="88">
        <f t="shared" ref="K5:K39" si="0">+L5*I5</f>
        <v>108560</v>
      </c>
      <c r="L5" s="93">
        <v>0.8</v>
      </c>
      <c r="M5" s="80" t="s">
        <v>89</v>
      </c>
      <c r="N5" s="138"/>
    </row>
    <row r="6" spans="2:14" s="27" customFormat="1" ht="80" customHeight="1" thickBot="1" x14ac:dyDescent="0.4">
      <c r="B6" s="149"/>
      <c r="C6" s="152"/>
      <c r="D6" s="149"/>
      <c r="E6" s="78" t="s">
        <v>88</v>
      </c>
      <c r="F6" s="47"/>
      <c r="G6" s="47"/>
      <c r="H6" s="79"/>
      <c r="I6" s="48">
        <v>108371.2</v>
      </c>
      <c r="J6" s="80"/>
      <c r="K6" s="88">
        <f t="shared" si="0"/>
        <v>86696.960000000006</v>
      </c>
      <c r="L6" s="93">
        <v>0.8</v>
      </c>
      <c r="M6" s="80" t="s">
        <v>90</v>
      </c>
      <c r="N6" s="138"/>
    </row>
    <row r="7" spans="2:14" s="27" customFormat="1" ht="80" customHeight="1" thickBot="1" x14ac:dyDescent="0.4">
      <c r="B7" s="149"/>
      <c r="C7" s="152"/>
      <c r="D7" s="149"/>
      <c r="E7" s="78" t="s">
        <v>91</v>
      </c>
      <c r="F7" s="47"/>
      <c r="G7" s="47"/>
      <c r="H7" s="79"/>
      <c r="I7" s="48">
        <v>1519357.58</v>
      </c>
      <c r="J7" s="80"/>
      <c r="K7" s="88">
        <f t="shared" si="0"/>
        <v>1215486.064</v>
      </c>
      <c r="L7" s="93">
        <v>0.8</v>
      </c>
      <c r="M7" s="80" t="s">
        <v>92</v>
      </c>
      <c r="N7" s="138"/>
    </row>
    <row r="8" spans="2:14" s="27" customFormat="1" ht="80" customHeight="1" thickBot="1" x14ac:dyDescent="0.4">
      <c r="B8" s="149"/>
      <c r="C8" s="152"/>
      <c r="D8" s="149"/>
      <c r="E8" s="78" t="s">
        <v>93</v>
      </c>
      <c r="F8" s="47"/>
      <c r="G8" s="47"/>
      <c r="H8" s="79"/>
      <c r="I8" s="48">
        <v>127440</v>
      </c>
      <c r="J8" s="80"/>
      <c r="K8" s="88">
        <f t="shared" si="0"/>
        <v>101952</v>
      </c>
      <c r="L8" s="93">
        <v>0.8</v>
      </c>
      <c r="M8" s="80" t="s">
        <v>94</v>
      </c>
      <c r="N8" s="138"/>
    </row>
    <row r="9" spans="2:14" s="27" customFormat="1" ht="80" customHeight="1" thickBot="1" x14ac:dyDescent="0.4">
      <c r="B9" s="149"/>
      <c r="C9" s="152"/>
      <c r="D9" s="149"/>
      <c r="E9" s="78" t="s">
        <v>95</v>
      </c>
      <c r="F9" s="47"/>
      <c r="G9" s="47"/>
      <c r="H9" s="79"/>
      <c r="I9" s="48">
        <v>247300</v>
      </c>
      <c r="J9" s="80"/>
      <c r="K9" s="88">
        <f t="shared" si="0"/>
        <v>197840</v>
      </c>
      <c r="L9" s="93">
        <v>0.8</v>
      </c>
      <c r="M9" s="80" t="s">
        <v>96</v>
      </c>
      <c r="N9" s="138"/>
    </row>
    <row r="10" spans="2:14" s="27" customFormat="1" ht="80" customHeight="1" thickBot="1" x14ac:dyDescent="0.4">
      <c r="B10" s="149"/>
      <c r="C10" s="152"/>
      <c r="D10" s="149"/>
      <c r="E10" s="78" t="s">
        <v>97</v>
      </c>
      <c r="F10" s="47"/>
      <c r="G10" s="47"/>
      <c r="H10" s="79"/>
      <c r="I10" s="48">
        <v>74340</v>
      </c>
      <c r="J10" s="80"/>
      <c r="K10" s="88">
        <f t="shared" si="0"/>
        <v>59472</v>
      </c>
      <c r="L10" s="93">
        <v>0.8</v>
      </c>
      <c r="M10" s="80" t="s">
        <v>98</v>
      </c>
      <c r="N10" s="138"/>
    </row>
    <row r="11" spans="2:14" s="27" customFormat="1" ht="80" customHeight="1" thickBot="1" x14ac:dyDescent="0.4">
      <c r="B11" s="149"/>
      <c r="C11" s="152"/>
      <c r="D11" s="149"/>
      <c r="E11" s="78" t="s">
        <v>99</v>
      </c>
      <c r="F11" s="47"/>
      <c r="G11" s="47"/>
      <c r="H11" s="79"/>
      <c r="I11" s="48">
        <v>40474</v>
      </c>
      <c r="J11" s="80"/>
      <c r="K11" s="88">
        <f t="shared" si="0"/>
        <v>32379.200000000001</v>
      </c>
      <c r="L11" s="93">
        <v>0.8</v>
      </c>
      <c r="M11" s="80" t="s">
        <v>100</v>
      </c>
      <c r="N11" s="138"/>
    </row>
    <row r="12" spans="2:14" s="27" customFormat="1" ht="80" customHeight="1" thickBot="1" x14ac:dyDescent="0.4">
      <c r="B12" s="149"/>
      <c r="C12" s="152"/>
      <c r="D12" s="149"/>
      <c r="E12" s="78" t="s">
        <v>101</v>
      </c>
      <c r="F12" s="47"/>
      <c r="G12" s="47"/>
      <c r="H12" s="79"/>
      <c r="I12" s="48">
        <v>48734</v>
      </c>
      <c r="J12" s="80"/>
      <c r="K12" s="88">
        <f t="shared" si="0"/>
        <v>38987.200000000004</v>
      </c>
      <c r="L12" s="93">
        <v>0.8</v>
      </c>
      <c r="M12" s="80" t="s">
        <v>102</v>
      </c>
      <c r="N12" s="138"/>
    </row>
    <row r="13" spans="2:14" s="27" customFormat="1" ht="80" customHeight="1" thickBot="1" x14ac:dyDescent="0.4">
      <c r="B13" s="149"/>
      <c r="C13" s="152"/>
      <c r="D13" s="149"/>
      <c r="E13" s="78" t="s">
        <v>103</v>
      </c>
      <c r="F13" s="47"/>
      <c r="G13" s="47"/>
      <c r="H13" s="79"/>
      <c r="I13" s="48">
        <v>40474</v>
      </c>
      <c r="J13" s="80"/>
      <c r="K13" s="88">
        <f t="shared" si="0"/>
        <v>32379.200000000001</v>
      </c>
      <c r="L13" s="93">
        <v>0.8</v>
      </c>
      <c r="M13" s="80" t="s">
        <v>104</v>
      </c>
      <c r="N13" s="138"/>
    </row>
    <row r="14" spans="2:14" s="44" customFormat="1" ht="69" customHeight="1" thickBot="1" x14ac:dyDescent="0.4">
      <c r="B14" s="149"/>
      <c r="C14" s="152"/>
      <c r="D14" s="149"/>
      <c r="E14" s="78" t="s">
        <v>105</v>
      </c>
      <c r="F14" s="47"/>
      <c r="G14" s="47"/>
      <c r="H14" s="79"/>
      <c r="I14" s="48">
        <v>47660.2</v>
      </c>
      <c r="J14" s="80"/>
      <c r="K14" s="88">
        <f t="shared" si="0"/>
        <v>38128.159999999996</v>
      </c>
      <c r="L14" s="93">
        <v>0.8</v>
      </c>
      <c r="M14" s="80" t="s">
        <v>106</v>
      </c>
      <c r="N14" s="138"/>
    </row>
    <row r="15" spans="2:14" s="44" customFormat="1" ht="70" customHeight="1" thickBot="1" x14ac:dyDescent="0.4">
      <c r="B15" s="149"/>
      <c r="C15" s="152"/>
      <c r="D15" s="149"/>
      <c r="E15" s="78" t="s">
        <v>107</v>
      </c>
      <c r="F15" s="47"/>
      <c r="G15" s="47"/>
      <c r="H15" s="79"/>
      <c r="I15" s="48">
        <v>47660.2</v>
      </c>
      <c r="J15" s="80"/>
      <c r="K15" s="88">
        <f t="shared" si="0"/>
        <v>38128.159999999996</v>
      </c>
      <c r="L15" s="93">
        <v>0.8</v>
      </c>
      <c r="M15" s="80" t="s">
        <v>108</v>
      </c>
      <c r="N15" s="138"/>
    </row>
    <row r="16" spans="2:14" s="44" customFormat="1" ht="65.5" customHeight="1" thickBot="1" x14ac:dyDescent="0.4">
      <c r="B16" s="149"/>
      <c r="C16" s="152"/>
      <c r="D16" s="149"/>
      <c r="E16" s="78" t="s">
        <v>109</v>
      </c>
      <c r="F16" s="47"/>
      <c r="G16" s="47"/>
      <c r="H16" s="79"/>
      <c r="I16" s="48">
        <v>47660.2</v>
      </c>
      <c r="J16" s="80"/>
      <c r="K16" s="88">
        <f t="shared" si="0"/>
        <v>38128.159999999996</v>
      </c>
      <c r="L16" s="93">
        <v>0.8</v>
      </c>
      <c r="M16" s="80" t="s">
        <v>110</v>
      </c>
      <c r="N16" s="138"/>
    </row>
    <row r="17" spans="2:14" s="27" customFormat="1" ht="80" customHeight="1" thickBot="1" x14ac:dyDescent="0.4">
      <c r="B17" s="149"/>
      <c r="C17" s="152"/>
      <c r="D17" s="149"/>
      <c r="E17" s="78" t="s">
        <v>111</v>
      </c>
      <c r="F17" s="47"/>
      <c r="G17" s="47"/>
      <c r="H17" s="79"/>
      <c r="I17" s="48">
        <v>47660.2</v>
      </c>
      <c r="J17" s="80"/>
      <c r="K17" s="88">
        <f t="shared" si="0"/>
        <v>38128.159999999996</v>
      </c>
      <c r="L17" s="93">
        <v>0.8</v>
      </c>
      <c r="M17" s="80" t="s">
        <v>112</v>
      </c>
      <c r="N17" s="138"/>
    </row>
    <row r="18" spans="2:14" s="27" customFormat="1" ht="80" customHeight="1" thickBot="1" x14ac:dyDescent="0.4">
      <c r="B18" s="149"/>
      <c r="C18" s="152"/>
      <c r="D18" s="149"/>
      <c r="E18" s="78" t="s">
        <v>113</v>
      </c>
      <c r="F18" s="47"/>
      <c r="G18" s="47"/>
      <c r="H18" s="79"/>
      <c r="I18" s="48">
        <v>18998</v>
      </c>
      <c r="J18" s="80"/>
      <c r="K18" s="88">
        <f t="shared" si="0"/>
        <v>15198.400000000001</v>
      </c>
      <c r="L18" s="93">
        <v>0.8</v>
      </c>
      <c r="M18" s="80" t="s">
        <v>114</v>
      </c>
      <c r="N18" s="138"/>
    </row>
    <row r="19" spans="2:14" s="27" customFormat="1" ht="80" customHeight="1" thickBot="1" x14ac:dyDescent="0.4">
      <c r="B19" s="149"/>
      <c r="C19" s="152"/>
      <c r="D19" s="149"/>
      <c r="E19" s="78" t="s">
        <v>115</v>
      </c>
      <c r="F19" s="47"/>
      <c r="G19" s="47"/>
      <c r="H19" s="79"/>
      <c r="I19" s="48">
        <f>32940+5929.2</f>
        <v>38869.199999999997</v>
      </c>
      <c r="J19" s="80"/>
      <c r="K19" s="88">
        <f t="shared" si="0"/>
        <v>31095.360000000001</v>
      </c>
      <c r="L19" s="93">
        <v>0.8</v>
      </c>
      <c r="M19" s="80" t="s">
        <v>116</v>
      </c>
      <c r="N19" s="138"/>
    </row>
    <row r="20" spans="2:14" s="27" customFormat="1" ht="80" customHeight="1" thickBot="1" x14ac:dyDescent="0.4">
      <c r="B20" s="149"/>
      <c r="C20" s="152"/>
      <c r="D20" s="149"/>
      <c r="E20" s="78" t="s">
        <v>117</v>
      </c>
      <c r="F20" s="47"/>
      <c r="G20" s="47"/>
      <c r="H20" s="79"/>
      <c r="I20" s="48">
        <f>43125+7762.5</f>
        <v>50887.5</v>
      </c>
      <c r="J20" s="80"/>
      <c r="K20" s="88">
        <f t="shared" si="0"/>
        <v>40710</v>
      </c>
      <c r="L20" s="93">
        <v>0.8</v>
      </c>
      <c r="M20" s="80" t="s">
        <v>118</v>
      </c>
      <c r="N20" s="138"/>
    </row>
    <row r="21" spans="2:14" s="27" customFormat="1" ht="80" customHeight="1" thickBot="1" x14ac:dyDescent="0.4">
      <c r="B21" s="149"/>
      <c r="C21" s="152"/>
      <c r="D21" s="149"/>
      <c r="E21" s="78" t="s">
        <v>119</v>
      </c>
      <c r="F21" s="47"/>
      <c r="G21" s="47"/>
      <c r="H21" s="79"/>
      <c r="I21" s="48">
        <f>39100+7038</f>
        <v>46138</v>
      </c>
      <c r="J21" s="80"/>
      <c r="K21" s="88">
        <f t="shared" si="0"/>
        <v>36910.400000000001</v>
      </c>
      <c r="L21" s="93">
        <v>0.8</v>
      </c>
      <c r="M21" s="80" t="s">
        <v>120</v>
      </c>
      <c r="N21" s="138"/>
    </row>
    <row r="22" spans="2:14" s="27" customFormat="1" ht="80" customHeight="1" thickBot="1" x14ac:dyDescent="0.4">
      <c r="B22" s="149"/>
      <c r="C22" s="152"/>
      <c r="D22" s="149"/>
      <c r="E22" s="78" t="s">
        <v>121</v>
      </c>
      <c r="F22" s="47"/>
      <c r="G22" s="47"/>
      <c r="H22" s="79"/>
      <c r="I22" s="48">
        <f>39680*1.18</f>
        <v>46822.399999999994</v>
      </c>
      <c r="J22" s="80"/>
      <c r="K22" s="88">
        <f t="shared" si="0"/>
        <v>37457.919999999998</v>
      </c>
      <c r="L22" s="93">
        <v>0.8</v>
      </c>
      <c r="M22" s="80" t="s">
        <v>122</v>
      </c>
      <c r="N22" s="138"/>
    </row>
    <row r="23" spans="2:14" s="44" customFormat="1" ht="54" customHeight="1" thickBot="1" x14ac:dyDescent="0.4">
      <c r="B23" s="149"/>
      <c r="C23" s="152"/>
      <c r="D23" s="149"/>
      <c r="E23" s="78" t="s">
        <v>123</v>
      </c>
      <c r="F23" s="47"/>
      <c r="G23" s="47"/>
      <c r="H23" s="79"/>
      <c r="I23" s="48">
        <f>102400*1.18</f>
        <v>120832</v>
      </c>
      <c r="J23" s="80"/>
      <c r="K23" s="88">
        <f t="shared" si="0"/>
        <v>96665.600000000006</v>
      </c>
      <c r="L23" s="93">
        <v>0.8</v>
      </c>
      <c r="M23" s="80" t="s">
        <v>124</v>
      </c>
      <c r="N23" s="138"/>
    </row>
    <row r="24" spans="2:14" s="44" customFormat="1" ht="54" customHeight="1" thickBot="1" x14ac:dyDescent="0.4">
      <c r="B24" s="149"/>
      <c r="C24" s="152"/>
      <c r="D24" s="149"/>
      <c r="E24" s="78" t="s">
        <v>125</v>
      </c>
      <c r="F24" s="47"/>
      <c r="G24" s="47"/>
      <c r="H24" s="79"/>
      <c r="I24" s="48">
        <v>40474</v>
      </c>
      <c r="J24" s="80"/>
      <c r="K24" s="88">
        <f t="shared" si="0"/>
        <v>32379.200000000001</v>
      </c>
      <c r="L24" s="93">
        <v>0.8</v>
      </c>
      <c r="M24" s="80" t="s">
        <v>126</v>
      </c>
      <c r="N24" s="138"/>
    </row>
    <row r="25" spans="2:14" s="44" customFormat="1" ht="54" customHeight="1" thickBot="1" x14ac:dyDescent="0.4">
      <c r="B25" s="149"/>
      <c r="C25" s="152"/>
      <c r="D25" s="149"/>
      <c r="E25" s="78" t="s">
        <v>127</v>
      </c>
      <c r="F25" s="47"/>
      <c r="G25" s="47"/>
      <c r="H25" s="79"/>
      <c r="I25" s="48">
        <f>37800*1.18</f>
        <v>44604</v>
      </c>
      <c r="J25" s="80"/>
      <c r="K25" s="88">
        <f t="shared" si="0"/>
        <v>35683.200000000004</v>
      </c>
      <c r="L25" s="93">
        <v>0.8</v>
      </c>
      <c r="M25" s="80" t="s">
        <v>128</v>
      </c>
      <c r="N25" s="138"/>
    </row>
    <row r="26" spans="2:14" s="44" customFormat="1" ht="54" customHeight="1" thickBot="1" x14ac:dyDescent="0.4">
      <c r="B26" s="149"/>
      <c r="C26" s="152"/>
      <c r="D26" s="149"/>
      <c r="E26" s="78" t="s">
        <v>129</v>
      </c>
      <c r="F26" s="47"/>
      <c r="G26" s="47"/>
      <c r="H26" s="79"/>
      <c r="I26" s="48">
        <f>37800*1.18</f>
        <v>44604</v>
      </c>
      <c r="J26" s="80"/>
      <c r="K26" s="88">
        <f t="shared" si="0"/>
        <v>35683.200000000004</v>
      </c>
      <c r="L26" s="93">
        <v>0.8</v>
      </c>
      <c r="M26" s="80" t="s">
        <v>130</v>
      </c>
      <c r="N26" s="138"/>
    </row>
    <row r="27" spans="2:14" s="44" customFormat="1" ht="54" customHeight="1" thickBot="1" x14ac:dyDescent="0.4">
      <c r="B27" s="149"/>
      <c r="C27" s="152"/>
      <c r="D27" s="149"/>
      <c r="E27" s="78" t="s">
        <v>133</v>
      </c>
      <c r="F27" s="47"/>
      <c r="G27" s="47"/>
      <c r="H27" s="79"/>
      <c r="I27" s="48">
        <f>37800*1.18</f>
        <v>44604</v>
      </c>
      <c r="J27" s="80"/>
      <c r="K27" s="88">
        <f t="shared" si="0"/>
        <v>35683.200000000004</v>
      </c>
      <c r="L27" s="93">
        <v>0.8</v>
      </c>
      <c r="M27" s="80" t="s">
        <v>132</v>
      </c>
      <c r="N27" s="138"/>
    </row>
    <row r="28" spans="2:14" s="44" customFormat="1" ht="54" customHeight="1" thickBot="1" x14ac:dyDescent="0.4">
      <c r="B28" s="149"/>
      <c r="C28" s="152"/>
      <c r="D28" s="149"/>
      <c r="E28" s="78" t="s">
        <v>131</v>
      </c>
      <c r="F28" s="47"/>
      <c r="G28" s="47"/>
      <c r="H28" s="79"/>
      <c r="I28" s="48">
        <f>37800*1.18</f>
        <v>44604</v>
      </c>
      <c r="J28" s="80"/>
      <c r="K28" s="88">
        <f t="shared" si="0"/>
        <v>35683.200000000004</v>
      </c>
      <c r="L28" s="93">
        <v>0.8</v>
      </c>
      <c r="M28" s="80" t="s">
        <v>134</v>
      </c>
      <c r="N28" s="138"/>
    </row>
    <row r="29" spans="2:14" s="44" customFormat="1" ht="54" customHeight="1" thickBot="1" x14ac:dyDescent="0.4">
      <c r="B29" s="149"/>
      <c r="C29" s="152"/>
      <c r="D29" s="149"/>
      <c r="E29" s="78" t="s">
        <v>135</v>
      </c>
      <c r="F29" s="47"/>
      <c r="G29" s="47"/>
      <c r="H29" s="79"/>
      <c r="I29" s="48">
        <f>37800*1.18</f>
        <v>44604</v>
      </c>
      <c r="J29" s="80"/>
      <c r="K29" s="88">
        <f t="shared" si="0"/>
        <v>35683.200000000004</v>
      </c>
      <c r="L29" s="93">
        <v>0.8</v>
      </c>
      <c r="M29" s="80" t="s">
        <v>136</v>
      </c>
      <c r="N29" s="138"/>
    </row>
    <row r="30" spans="2:14" s="44" customFormat="1" ht="54" customHeight="1" thickBot="1" x14ac:dyDescent="0.4">
      <c r="B30" s="149"/>
      <c r="C30" s="152"/>
      <c r="D30" s="149"/>
      <c r="E30" s="78" t="s">
        <v>137</v>
      </c>
      <c r="F30" s="47"/>
      <c r="G30" s="47"/>
      <c r="H30" s="79"/>
      <c r="I30" s="48">
        <v>14464.44</v>
      </c>
      <c r="J30" s="80"/>
      <c r="K30" s="88">
        <f t="shared" si="0"/>
        <v>11571.552000000001</v>
      </c>
      <c r="L30" s="93">
        <v>0.8</v>
      </c>
      <c r="M30" s="80" t="s">
        <v>138</v>
      </c>
      <c r="N30" s="138"/>
    </row>
    <row r="31" spans="2:14" s="44" customFormat="1" ht="54" customHeight="1" thickBot="1" x14ac:dyDescent="0.4">
      <c r="B31" s="149"/>
      <c r="C31" s="152"/>
      <c r="D31" s="149"/>
      <c r="E31" s="78" t="s">
        <v>139</v>
      </c>
      <c r="F31" s="47"/>
      <c r="G31" s="47"/>
      <c r="H31" s="79"/>
      <c r="I31" s="48">
        <v>14464.44</v>
      </c>
      <c r="J31" s="80"/>
      <c r="K31" s="88">
        <f t="shared" si="0"/>
        <v>11571.552000000001</v>
      </c>
      <c r="L31" s="93">
        <v>0.8</v>
      </c>
      <c r="M31" s="80" t="s">
        <v>140</v>
      </c>
      <c r="N31" s="138"/>
    </row>
    <row r="32" spans="2:14" s="44" customFormat="1" ht="54" customHeight="1" thickBot="1" x14ac:dyDescent="0.4">
      <c r="B32" s="149"/>
      <c r="C32" s="152"/>
      <c r="D32" s="149"/>
      <c r="E32" s="78" t="s">
        <v>141</v>
      </c>
      <c r="F32" s="47"/>
      <c r="G32" s="47"/>
      <c r="H32" s="79"/>
      <c r="I32" s="48">
        <v>14464.44</v>
      </c>
      <c r="J32" s="80"/>
      <c r="K32" s="88">
        <f t="shared" si="0"/>
        <v>11571.552000000001</v>
      </c>
      <c r="L32" s="93">
        <v>0.8</v>
      </c>
      <c r="M32" s="80" t="s">
        <v>142</v>
      </c>
      <c r="N32" s="138"/>
    </row>
    <row r="33" spans="2:14" s="44" customFormat="1" ht="54" customHeight="1" thickBot="1" x14ac:dyDescent="0.4">
      <c r="B33" s="149"/>
      <c r="C33" s="152"/>
      <c r="D33" s="149"/>
      <c r="E33" s="78" t="s">
        <v>143</v>
      </c>
      <c r="F33" s="47"/>
      <c r="G33" s="47"/>
      <c r="H33" s="79"/>
      <c r="I33" s="48">
        <v>14464.44</v>
      </c>
      <c r="J33" s="80"/>
      <c r="K33" s="88">
        <f t="shared" si="0"/>
        <v>11571.552000000001</v>
      </c>
      <c r="L33" s="93">
        <v>0.8</v>
      </c>
      <c r="M33" s="80" t="s">
        <v>144</v>
      </c>
      <c r="N33" s="138"/>
    </row>
    <row r="34" spans="2:14" s="44" customFormat="1" ht="54" customHeight="1" thickBot="1" x14ac:dyDescent="0.4">
      <c r="B34" s="149"/>
      <c r="C34" s="152"/>
      <c r="D34" s="149"/>
      <c r="E34" s="78" t="s">
        <v>145</v>
      </c>
      <c r="F34" s="47"/>
      <c r="G34" s="47"/>
      <c r="H34" s="79"/>
      <c r="I34" s="48">
        <v>14464.44</v>
      </c>
      <c r="J34" s="80"/>
      <c r="K34" s="88">
        <f t="shared" si="0"/>
        <v>11571.552000000001</v>
      </c>
      <c r="L34" s="93">
        <v>0.8</v>
      </c>
      <c r="M34" s="80" t="s">
        <v>146</v>
      </c>
      <c r="N34" s="138"/>
    </row>
    <row r="35" spans="2:14" s="44" customFormat="1" ht="54" customHeight="1" thickBot="1" x14ac:dyDescent="0.4">
      <c r="B35" s="149"/>
      <c r="C35" s="152"/>
      <c r="D35" s="149"/>
      <c r="E35" s="78" t="s">
        <v>147</v>
      </c>
      <c r="F35" s="47"/>
      <c r="G35" s="47"/>
      <c r="H35" s="79"/>
      <c r="I35" s="48">
        <v>64452.78</v>
      </c>
      <c r="J35" s="80"/>
      <c r="K35" s="88">
        <f t="shared" si="0"/>
        <v>51562.224000000002</v>
      </c>
      <c r="L35" s="93">
        <v>0.8</v>
      </c>
      <c r="M35" s="80" t="s">
        <v>148</v>
      </c>
      <c r="N35" s="138"/>
    </row>
    <row r="36" spans="2:14" s="44" customFormat="1" ht="54" customHeight="1" thickBot="1" x14ac:dyDescent="0.4">
      <c r="B36" s="149"/>
      <c r="C36" s="152"/>
      <c r="D36" s="149"/>
      <c r="E36" s="78" t="s">
        <v>149</v>
      </c>
      <c r="F36" s="47"/>
      <c r="G36" s="47"/>
      <c r="H36" s="79"/>
      <c r="I36" s="48">
        <v>64452.78</v>
      </c>
      <c r="J36" s="80"/>
      <c r="K36" s="88">
        <f t="shared" si="0"/>
        <v>51562.224000000002</v>
      </c>
      <c r="L36" s="93">
        <v>0.8</v>
      </c>
      <c r="M36" s="80" t="s">
        <v>150</v>
      </c>
      <c r="N36" s="138"/>
    </row>
    <row r="37" spans="2:14" s="44" customFormat="1" ht="54" customHeight="1" thickBot="1" x14ac:dyDescent="0.4">
      <c r="B37" s="149"/>
      <c r="C37" s="152"/>
      <c r="D37" s="149"/>
      <c r="E37" s="78" t="s">
        <v>151</v>
      </c>
      <c r="F37" s="47"/>
      <c r="G37" s="47"/>
      <c r="H37" s="79"/>
      <c r="I37" s="48">
        <v>64452.78</v>
      </c>
      <c r="J37" s="80"/>
      <c r="K37" s="88">
        <f t="shared" si="0"/>
        <v>51562.224000000002</v>
      </c>
      <c r="L37" s="93">
        <v>0.8</v>
      </c>
      <c r="M37" s="80" t="s">
        <v>152</v>
      </c>
      <c r="N37" s="138"/>
    </row>
    <row r="38" spans="2:14" s="44" customFormat="1" ht="54" customHeight="1" thickBot="1" x14ac:dyDescent="0.4">
      <c r="B38" s="149"/>
      <c r="C38" s="152"/>
      <c r="D38" s="149"/>
      <c r="E38" s="78" t="s">
        <v>153</v>
      </c>
      <c r="F38" s="47"/>
      <c r="G38" s="47"/>
      <c r="H38" s="79"/>
      <c r="I38" s="48">
        <v>64452.78</v>
      </c>
      <c r="J38" s="80"/>
      <c r="K38" s="88">
        <f t="shared" si="0"/>
        <v>51562.224000000002</v>
      </c>
      <c r="L38" s="93">
        <v>0.8</v>
      </c>
      <c r="M38" s="80" t="s">
        <v>154</v>
      </c>
      <c r="N38" s="138"/>
    </row>
    <row r="39" spans="2:14" s="44" customFormat="1" ht="54" customHeight="1" thickBot="1" x14ac:dyDescent="0.4">
      <c r="B39" s="150"/>
      <c r="C39" s="153"/>
      <c r="D39" s="150"/>
      <c r="E39" s="78" t="s">
        <v>155</v>
      </c>
      <c r="F39" s="47"/>
      <c r="G39" s="47"/>
      <c r="H39" s="79"/>
      <c r="I39" s="48">
        <v>231511.28</v>
      </c>
      <c r="J39" s="80"/>
      <c r="K39" s="88">
        <f t="shared" si="0"/>
        <v>185209.024</v>
      </c>
      <c r="L39" s="93">
        <v>0.8</v>
      </c>
      <c r="M39" s="80" t="s">
        <v>156</v>
      </c>
      <c r="N39" s="139"/>
    </row>
    <row r="40" spans="2:14" s="44" customFormat="1" ht="54" customHeight="1" thickBot="1" x14ac:dyDescent="0.4">
      <c r="B40" s="148">
        <v>2</v>
      </c>
      <c r="C40" s="151" t="s">
        <v>244</v>
      </c>
      <c r="D40" s="148" t="s">
        <v>158</v>
      </c>
      <c r="E40" s="64" t="s">
        <v>159</v>
      </c>
      <c r="F40" s="47">
        <v>42979</v>
      </c>
      <c r="G40" s="47"/>
      <c r="H40" s="65"/>
      <c r="I40" s="48">
        <f>7146520*1.18</f>
        <v>8432893.5999999996</v>
      </c>
      <c r="J40" s="63"/>
      <c r="K40" s="28">
        <f>+L40*I40</f>
        <v>6746314.8799999999</v>
      </c>
      <c r="L40" s="87">
        <v>0.8</v>
      </c>
      <c r="M40" s="80">
        <v>271</v>
      </c>
      <c r="N40" s="130" t="s">
        <v>157</v>
      </c>
    </row>
    <row r="41" spans="2:14" s="44" customFormat="1" ht="54" customHeight="1" thickBot="1" x14ac:dyDescent="0.4">
      <c r="B41" s="149"/>
      <c r="C41" s="152"/>
      <c r="D41" s="149"/>
      <c r="E41" s="78" t="s">
        <v>160</v>
      </c>
      <c r="F41" s="47"/>
      <c r="G41" s="47"/>
      <c r="H41" s="79"/>
      <c r="I41" s="48">
        <v>86904.639999999999</v>
      </c>
      <c r="J41" s="80"/>
      <c r="K41" s="88">
        <f t="shared" ref="K41" si="1">+L41*I41</f>
        <v>69523.712</v>
      </c>
      <c r="L41" s="93">
        <v>0.8</v>
      </c>
      <c r="M41" s="80" t="s">
        <v>161</v>
      </c>
      <c r="N41" s="138"/>
    </row>
    <row r="42" spans="2:14" s="44" customFormat="1" ht="54" customHeight="1" thickBot="1" x14ac:dyDescent="0.4">
      <c r="B42" s="149"/>
      <c r="C42" s="152"/>
      <c r="D42" s="149"/>
      <c r="E42" s="78" t="s">
        <v>162</v>
      </c>
      <c r="F42" s="47"/>
      <c r="G42" s="47"/>
      <c r="H42" s="79"/>
      <c r="I42" s="48">
        <v>50645</v>
      </c>
      <c r="J42" s="80"/>
      <c r="K42" s="88">
        <f t="shared" ref="K42" si="2">+L42*I42</f>
        <v>40516</v>
      </c>
      <c r="L42" s="93">
        <v>0.8</v>
      </c>
      <c r="M42" s="80" t="s">
        <v>163</v>
      </c>
      <c r="N42" s="138"/>
    </row>
    <row r="43" spans="2:14" s="44" customFormat="1" ht="54" customHeight="1" thickBot="1" x14ac:dyDescent="0.4">
      <c r="B43" s="149"/>
      <c r="C43" s="152"/>
      <c r="D43" s="149"/>
      <c r="E43" s="78" t="s">
        <v>164</v>
      </c>
      <c r="F43" s="47"/>
      <c r="G43" s="47"/>
      <c r="H43" s="79"/>
      <c r="I43" s="48">
        <v>50244.4</v>
      </c>
      <c r="J43" s="80"/>
      <c r="K43" s="88">
        <f t="shared" ref="K43:K44" si="3">+L43*I43</f>
        <v>40195.520000000004</v>
      </c>
      <c r="L43" s="93">
        <v>0.8</v>
      </c>
      <c r="M43" s="80" t="s">
        <v>165</v>
      </c>
      <c r="N43" s="138"/>
    </row>
    <row r="44" spans="2:14" s="44" customFormat="1" ht="58.5" customHeight="1" thickBot="1" x14ac:dyDescent="0.4">
      <c r="B44" s="149"/>
      <c r="C44" s="152"/>
      <c r="D44" s="149"/>
      <c r="E44" s="78" t="s">
        <v>166</v>
      </c>
      <c r="F44" s="47"/>
      <c r="G44" s="47"/>
      <c r="H44" s="79"/>
      <c r="I44" s="48">
        <v>408957.1</v>
      </c>
      <c r="J44" s="80"/>
      <c r="K44" s="88">
        <f t="shared" si="3"/>
        <v>327165.68</v>
      </c>
      <c r="L44" s="93">
        <v>0.8</v>
      </c>
      <c r="M44" s="80" t="s">
        <v>167</v>
      </c>
      <c r="N44" s="138"/>
    </row>
    <row r="45" spans="2:14" s="44" customFormat="1" ht="54" customHeight="1" thickBot="1" x14ac:dyDescent="0.4">
      <c r="B45" s="149"/>
      <c r="C45" s="152"/>
      <c r="D45" s="149"/>
      <c r="E45" s="78" t="s">
        <v>168</v>
      </c>
      <c r="F45" s="47"/>
      <c r="G45" s="47"/>
      <c r="H45" s="79"/>
      <c r="I45" s="48">
        <v>19038.36</v>
      </c>
      <c r="J45" s="80"/>
      <c r="K45" s="88">
        <f t="shared" ref="K45" si="4">+L45*I45</f>
        <v>15230.688000000002</v>
      </c>
      <c r="L45" s="93">
        <v>0.8</v>
      </c>
      <c r="M45" s="80" t="s">
        <v>169</v>
      </c>
      <c r="N45" s="138"/>
    </row>
    <row r="46" spans="2:14" s="44" customFormat="1" ht="54" customHeight="1" thickBot="1" x14ac:dyDescent="0.4">
      <c r="B46" s="149"/>
      <c r="C46" s="152"/>
      <c r="D46" s="149"/>
      <c r="E46" s="78" t="s">
        <v>170</v>
      </c>
      <c r="F46" s="47"/>
      <c r="G46" s="47"/>
      <c r="H46" s="79"/>
      <c r="I46" s="48">
        <v>28933.599999999999</v>
      </c>
      <c r="J46" s="80"/>
      <c r="K46" s="88">
        <f t="shared" ref="K46" si="5">+L46*I46</f>
        <v>23146.880000000001</v>
      </c>
      <c r="L46" s="93">
        <v>0.8</v>
      </c>
      <c r="M46" s="80" t="s">
        <v>171</v>
      </c>
      <c r="N46" s="138"/>
    </row>
    <row r="47" spans="2:14" s="44" customFormat="1" ht="54" customHeight="1" thickBot="1" x14ac:dyDescent="0.4">
      <c r="B47" s="149"/>
      <c r="C47" s="152"/>
      <c r="D47" s="149"/>
      <c r="E47" s="78" t="s">
        <v>172</v>
      </c>
      <c r="F47" s="47"/>
      <c r="G47" s="47"/>
      <c r="H47" s="79"/>
      <c r="I47" s="48">
        <v>43763.839999999997</v>
      </c>
      <c r="J47" s="80"/>
      <c r="K47" s="88">
        <f t="shared" ref="K47" si="6">+L47*I47</f>
        <v>35011.072</v>
      </c>
      <c r="L47" s="93">
        <v>0.8</v>
      </c>
      <c r="M47" s="80" t="s">
        <v>173</v>
      </c>
      <c r="N47" s="138"/>
    </row>
    <row r="48" spans="2:14" s="44" customFormat="1" ht="54" customHeight="1" thickBot="1" x14ac:dyDescent="0.4">
      <c r="B48" s="149"/>
      <c r="C48" s="152"/>
      <c r="D48" s="149"/>
      <c r="E48" s="78" t="s">
        <v>174</v>
      </c>
      <c r="F48" s="47"/>
      <c r="G48" s="47"/>
      <c r="H48" s="79"/>
      <c r="I48" s="48">
        <v>35638.36</v>
      </c>
      <c r="J48" s="80"/>
      <c r="K48" s="88">
        <f t="shared" ref="K48" si="7">+L48*I48</f>
        <v>28510.688000000002</v>
      </c>
      <c r="L48" s="93">
        <v>0.8</v>
      </c>
      <c r="M48" s="80" t="s">
        <v>175</v>
      </c>
      <c r="N48" s="138"/>
    </row>
    <row r="49" spans="2:14" s="44" customFormat="1" ht="54" customHeight="1" thickBot="1" x14ac:dyDescent="0.4">
      <c r="B49" s="149"/>
      <c r="C49" s="152"/>
      <c r="D49" s="149"/>
      <c r="E49" s="78" t="s">
        <v>176</v>
      </c>
      <c r="F49" s="47"/>
      <c r="G49" s="47"/>
      <c r="H49" s="79"/>
      <c r="I49" s="48">
        <v>56097.2</v>
      </c>
      <c r="J49" s="80"/>
      <c r="K49" s="88">
        <f t="shared" ref="K49" si="8">+L49*I49</f>
        <v>44877.760000000002</v>
      </c>
      <c r="L49" s="93">
        <v>0.8</v>
      </c>
      <c r="M49" s="80" t="s">
        <v>177</v>
      </c>
      <c r="N49" s="138"/>
    </row>
    <row r="50" spans="2:14" s="44" customFormat="1" ht="54" customHeight="1" thickBot="1" x14ac:dyDescent="0.4">
      <c r="B50" s="149"/>
      <c r="C50" s="152"/>
      <c r="D50" s="149"/>
      <c r="E50" s="78" t="s">
        <v>178</v>
      </c>
      <c r="F50" s="47"/>
      <c r="G50" s="47"/>
      <c r="H50" s="79"/>
      <c r="I50" s="48">
        <v>343191.2</v>
      </c>
      <c r="J50" s="80"/>
      <c r="K50" s="88">
        <f t="shared" ref="K50" si="9">+L50*I50</f>
        <v>274552.96000000002</v>
      </c>
      <c r="L50" s="93">
        <v>0.8</v>
      </c>
      <c r="M50" s="80" t="s">
        <v>179</v>
      </c>
      <c r="N50" s="138"/>
    </row>
    <row r="51" spans="2:14" s="44" customFormat="1" ht="54" customHeight="1" thickBot="1" x14ac:dyDescent="0.4">
      <c r="B51" s="149"/>
      <c r="C51" s="152"/>
      <c r="D51" s="149"/>
      <c r="E51" s="78" t="s">
        <v>180</v>
      </c>
      <c r="F51" s="47"/>
      <c r="G51" s="47"/>
      <c r="H51" s="79"/>
      <c r="I51" s="48">
        <v>127274.8</v>
      </c>
      <c r="J51" s="80"/>
      <c r="K51" s="88">
        <f t="shared" ref="K51" si="10">+L51*I51</f>
        <v>101819.84000000001</v>
      </c>
      <c r="L51" s="93">
        <v>0.8</v>
      </c>
      <c r="M51" s="80" t="s">
        <v>181</v>
      </c>
      <c r="N51" s="138"/>
    </row>
    <row r="52" spans="2:14" s="44" customFormat="1" ht="54" customHeight="1" thickBot="1" x14ac:dyDescent="0.4">
      <c r="B52" s="149"/>
      <c r="C52" s="152"/>
      <c r="D52" s="149"/>
      <c r="E52" s="78" t="s">
        <v>182</v>
      </c>
      <c r="F52" s="47"/>
      <c r="G52" s="47"/>
      <c r="H52" s="79"/>
      <c r="I52" s="48">
        <v>24060.2</v>
      </c>
      <c r="J52" s="80"/>
      <c r="K52" s="88">
        <f t="shared" ref="K52" si="11">+L52*I52</f>
        <v>19248.16</v>
      </c>
      <c r="L52" s="93">
        <v>0.8</v>
      </c>
      <c r="M52" s="80" t="s">
        <v>183</v>
      </c>
      <c r="N52" s="138"/>
    </row>
    <row r="53" spans="2:14" s="44" customFormat="1" ht="54" customHeight="1" thickBot="1" x14ac:dyDescent="0.4">
      <c r="B53" s="149"/>
      <c r="C53" s="152"/>
      <c r="D53" s="149"/>
      <c r="E53" s="78" t="s">
        <v>184</v>
      </c>
      <c r="F53" s="47"/>
      <c r="G53" s="47"/>
      <c r="H53" s="79"/>
      <c r="I53" s="48">
        <v>90093</v>
      </c>
      <c r="J53" s="80"/>
      <c r="K53" s="88">
        <f t="shared" ref="K53" si="12">+L53*I53</f>
        <v>72074.400000000009</v>
      </c>
      <c r="L53" s="93">
        <v>0.8</v>
      </c>
      <c r="M53" s="80" t="s">
        <v>185</v>
      </c>
      <c r="N53" s="138"/>
    </row>
    <row r="54" spans="2:14" s="44" customFormat="1" ht="54" customHeight="1" thickBot="1" x14ac:dyDescent="0.4">
      <c r="B54" s="149"/>
      <c r="C54" s="152"/>
      <c r="D54" s="149"/>
      <c r="E54" s="78" t="s">
        <v>186</v>
      </c>
      <c r="F54" s="47"/>
      <c r="G54" s="47"/>
      <c r="H54" s="79"/>
      <c r="I54" s="48">
        <v>48120.4</v>
      </c>
      <c r="J54" s="80"/>
      <c r="K54" s="88">
        <f t="shared" ref="K54" si="13">+L54*I54</f>
        <v>38496.32</v>
      </c>
      <c r="L54" s="93">
        <v>0.8</v>
      </c>
      <c r="M54" s="80" t="s">
        <v>187</v>
      </c>
      <c r="N54" s="138"/>
    </row>
    <row r="55" spans="2:14" s="44" customFormat="1" ht="54" customHeight="1" thickBot="1" x14ac:dyDescent="0.4">
      <c r="B55" s="149"/>
      <c r="C55" s="152"/>
      <c r="D55" s="149"/>
      <c r="E55" s="78" t="s">
        <v>188</v>
      </c>
      <c r="F55" s="47"/>
      <c r="G55" s="47"/>
      <c r="H55" s="79"/>
      <c r="I55" s="48">
        <v>40311.160000000003</v>
      </c>
      <c r="J55" s="80"/>
      <c r="K55" s="88">
        <f t="shared" ref="K55" si="14">+L55*I55</f>
        <v>32248.928000000004</v>
      </c>
      <c r="L55" s="93">
        <v>0.8</v>
      </c>
      <c r="M55" s="80" t="s">
        <v>189</v>
      </c>
      <c r="N55" s="138"/>
    </row>
    <row r="56" spans="2:14" s="44" customFormat="1" ht="54" customHeight="1" thickBot="1" x14ac:dyDescent="0.4">
      <c r="B56" s="149"/>
      <c r="C56" s="152"/>
      <c r="D56" s="149"/>
      <c r="E56" s="78" t="s">
        <v>190</v>
      </c>
      <c r="F56" s="47"/>
      <c r="G56" s="47"/>
      <c r="H56" s="79"/>
      <c r="I56" s="48">
        <v>30031</v>
      </c>
      <c r="J56" s="80"/>
      <c r="K56" s="88">
        <f t="shared" ref="K56" si="15">+L56*I56</f>
        <v>24024.800000000003</v>
      </c>
      <c r="L56" s="93">
        <v>0.8</v>
      </c>
      <c r="M56" s="80" t="s">
        <v>191</v>
      </c>
      <c r="N56" s="138"/>
    </row>
    <row r="57" spans="2:14" s="44" customFormat="1" ht="54" customHeight="1" thickBot="1" x14ac:dyDescent="0.4">
      <c r="B57" s="149"/>
      <c r="C57" s="152"/>
      <c r="D57" s="149"/>
      <c r="E57" s="78" t="s">
        <v>192</v>
      </c>
      <c r="F57" s="47"/>
      <c r="G57" s="47"/>
      <c r="H57" s="79"/>
      <c r="I57" s="48">
        <v>22726.799999999999</v>
      </c>
      <c r="J57" s="80"/>
      <c r="K57" s="88">
        <f t="shared" ref="K57" si="16">+L57*I57</f>
        <v>18181.439999999999</v>
      </c>
      <c r="L57" s="93">
        <v>0.8</v>
      </c>
      <c r="M57" s="80" t="s">
        <v>193</v>
      </c>
      <c r="N57" s="138"/>
    </row>
    <row r="58" spans="2:14" s="44" customFormat="1" ht="54" customHeight="1" thickBot="1" x14ac:dyDescent="0.4">
      <c r="B58" s="149"/>
      <c r="C58" s="152"/>
      <c r="D58" s="149"/>
      <c r="E58" s="78" t="s">
        <v>194</v>
      </c>
      <c r="F58" s="47"/>
      <c r="G58" s="47"/>
      <c r="H58" s="79"/>
      <c r="I58" s="48">
        <v>36521</v>
      </c>
      <c r="J58" s="80"/>
      <c r="K58" s="88">
        <f t="shared" ref="K58:K59" si="17">+L58*I58</f>
        <v>29216.800000000003</v>
      </c>
      <c r="L58" s="93">
        <v>0.8</v>
      </c>
      <c r="M58" s="80" t="s">
        <v>195</v>
      </c>
      <c r="N58" s="138"/>
    </row>
    <row r="59" spans="2:14" s="44" customFormat="1" ht="54" customHeight="1" thickBot="1" x14ac:dyDescent="0.4">
      <c r="B59" s="149"/>
      <c r="C59" s="152"/>
      <c r="D59" s="149"/>
      <c r="E59" s="78" t="s">
        <v>196</v>
      </c>
      <c r="F59" s="47"/>
      <c r="G59" s="47"/>
      <c r="H59" s="79"/>
      <c r="I59" s="48">
        <v>13600.68</v>
      </c>
      <c r="J59" s="80"/>
      <c r="K59" s="88">
        <f t="shared" si="17"/>
        <v>10880.544000000002</v>
      </c>
      <c r="L59" s="93">
        <v>0.8</v>
      </c>
      <c r="M59" s="80" t="s">
        <v>197</v>
      </c>
      <c r="N59" s="138"/>
    </row>
    <row r="60" spans="2:14" s="44" customFormat="1" ht="54" customHeight="1" thickBot="1" x14ac:dyDescent="0.4">
      <c r="B60" s="149"/>
      <c r="C60" s="152"/>
      <c r="D60" s="149"/>
      <c r="E60" s="78" t="s">
        <v>198</v>
      </c>
      <c r="F60" s="47"/>
      <c r="G60" s="47"/>
      <c r="H60" s="79"/>
      <c r="I60" s="48">
        <v>2662.08</v>
      </c>
      <c r="J60" s="80"/>
      <c r="K60" s="88">
        <f t="shared" ref="K60" si="18">+L60*I60</f>
        <v>2129.6640000000002</v>
      </c>
      <c r="L60" s="93">
        <v>0.8</v>
      </c>
      <c r="M60" s="80" t="s">
        <v>199</v>
      </c>
      <c r="N60" s="138"/>
    </row>
    <row r="61" spans="2:14" s="44" customFormat="1" ht="54" customHeight="1" thickBot="1" x14ac:dyDescent="0.4">
      <c r="B61" s="149"/>
      <c r="C61" s="152"/>
      <c r="D61" s="149"/>
      <c r="E61" s="78" t="s">
        <v>200</v>
      </c>
      <c r="F61" s="47"/>
      <c r="G61" s="47"/>
      <c r="H61" s="79"/>
      <c r="I61" s="48">
        <v>7013.6</v>
      </c>
      <c r="J61" s="80"/>
      <c r="K61" s="88">
        <f t="shared" ref="K61" si="19">+L61*I61</f>
        <v>5610.880000000001</v>
      </c>
      <c r="L61" s="93">
        <v>0.8</v>
      </c>
      <c r="M61" s="80" t="s">
        <v>201</v>
      </c>
      <c r="N61" s="138"/>
    </row>
    <row r="62" spans="2:14" s="44" customFormat="1" ht="54" customHeight="1" thickBot="1" x14ac:dyDescent="0.4">
      <c r="B62" s="149"/>
      <c r="C62" s="152"/>
      <c r="D62" s="149"/>
      <c r="E62" s="78" t="s">
        <v>202</v>
      </c>
      <c r="F62" s="47"/>
      <c r="G62" s="47"/>
      <c r="H62" s="79"/>
      <c r="I62" s="48">
        <v>72003.600000000006</v>
      </c>
      <c r="J62" s="80"/>
      <c r="K62" s="88">
        <f t="shared" ref="K62" si="20">+L62*I62</f>
        <v>57602.880000000005</v>
      </c>
      <c r="L62" s="93">
        <v>0.8</v>
      </c>
      <c r="M62" s="80" t="s">
        <v>203</v>
      </c>
      <c r="N62" s="138"/>
    </row>
    <row r="63" spans="2:14" s="44" customFormat="1" ht="54" customHeight="1" thickBot="1" x14ac:dyDescent="0.4">
      <c r="B63" s="149"/>
      <c r="C63" s="152"/>
      <c r="D63" s="149"/>
      <c r="E63" s="78" t="s">
        <v>204</v>
      </c>
      <c r="F63" s="47"/>
      <c r="G63" s="47"/>
      <c r="H63" s="79"/>
      <c r="I63" s="48">
        <v>97196.6</v>
      </c>
      <c r="J63" s="80"/>
      <c r="K63" s="88">
        <f t="shared" ref="K63" si="21">+L63*I63</f>
        <v>77757.280000000013</v>
      </c>
      <c r="L63" s="93">
        <v>0.8</v>
      </c>
      <c r="M63" s="80" t="s">
        <v>205</v>
      </c>
      <c r="N63" s="138"/>
    </row>
    <row r="64" spans="2:14" s="44" customFormat="1" ht="54" customHeight="1" thickBot="1" x14ac:dyDescent="0.4">
      <c r="B64" s="149"/>
      <c r="C64" s="152"/>
      <c r="D64" s="149"/>
      <c r="E64" s="78" t="s">
        <v>206</v>
      </c>
      <c r="F64" s="47"/>
      <c r="G64" s="47"/>
      <c r="H64" s="79"/>
      <c r="I64" s="48">
        <v>22726.799999999999</v>
      </c>
      <c r="J64" s="80"/>
      <c r="K64" s="88">
        <f t="shared" ref="K64" si="22">+L64*I64</f>
        <v>18181.439999999999</v>
      </c>
      <c r="L64" s="93">
        <v>0.8</v>
      </c>
      <c r="M64" s="80" t="s">
        <v>207</v>
      </c>
      <c r="N64" s="138"/>
    </row>
    <row r="65" spans="2:14" s="44" customFormat="1" ht="54" customHeight="1" thickBot="1" x14ac:dyDescent="0.4">
      <c r="B65" s="149"/>
      <c r="C65" s="152"/>
      <c r="D65" s="149"/>
      <c r="E65" s="78" t="s">
        <v>208</v>
      </c>
      <c r="F65" s="47"/>
      <c r="G65" s="47"/>
      <c r="H65" s="79"/>
      <c r="I65" s="48">
        <v>33346.800000000003</v>
      </c>
      <c r="J65" s="80"/>
      <c r="K65" s="88">
        <f t="shared" ref="K65" si="23">+L65*I65</f>
        <v>26677.440000000002</v>
      </c>
      <c r="L65" s="93">
        <v>0.8</v>
      </c>
      <c r="M65" s="80" t="s">
        <v>209</v>
      </c>
      <c r="N65" s="138"/>
    </row>
    <row r="66" spans="2:14" s="44" customFormat="1" ht="54" customHeight="1" thickBot="1" x14ac:dyDescent="0.4">
      <c r="B66" s="149"/>
      <c r="C66" s="152"/>
      <c r="D66" s="149"/>
      <c r="E66" s="78" t="s">
        <v>210</v>
      </c>
      <c r="F66" s="47"/>
      <c r="G66" s="47"/>
      <c r="H66" s="79"/>
      <c r="I66" s="48">
        <v>81939.199999999997</v>
      </c>
      <c r="J66" s="80"/>
      <c r="K66" s="88">
        <f t="shared" ref="K66" si="24">+L66*I66</f>
        <v>65551.360000000001</v>
      </c>
      <c r="L66" s="93">
        <v>0.8</v>
      </c>
      <c r="M66" s="80" t="s">
        <v>211</v>
      </c>
      <c r="N66" s="138"/>
    </row>
    <row r="67" spans="2:14" s="44" customFormat="1" ht="54" customHeight="1" thickBot="1" x14ac:dyDescent="0.4">
      <c r="B67" s="149"/>
      <c r="C67" s="152"/>
      <c r="D67" s="149"/>
      <c r="E67" s="78" t="s">
        <v>212</v>
      </c>
      <c r="F67" s="47"/>
      <c r="G67" s="47"/>
      <c r="H67" s="79"/>
      <c r="I67" s="48">
        <v>69974</v>
      </c>
      <c r="J67" s="80"/>
      <c r="K67" s="88">
        <f t="shared" ref="K67" si="25">+L67*I67</f>
        <v>55979.200000000004</v>
      </c>
      <c r="L67" s="93">
        <v>0.8</v>
      </c>
      <c r="M67" s="80" t="s">
        <v>213</v>
      </c>
      <c r="N67" s="138"/>
    </row>
    <row r="68" spans="2:14" s="44" customFormat="1" ht="54" customHeight="1" thickBot="1" x14ac:dyDescent="0.4">
      <c r="B68" s="149"/>
      <c r="C68" s="152"/>
      <c r="D68" s="149"/>
      <c r="E68" s="78" t="s">
        <v>214</v>
      </c>
      <c r="F68" s="47"/>
      <c r="G68" s="47"/>
      <c r="H68" s="79"/>
      <c r="I68" s="48">
        <v>69974</v>
      </c>
      <c r="J68" s="80"/>
      <c r="K68" s="88">
        <f t="shared" ref="K68" si="26">+L68*I68</f>
        <v>55979.200000000004</v>
      </c>
      <c r="L68" s="93">
        <v>0.8</v>
      </c>
      <c r="M68" s="80" t="s">
        <v>215</v>
      </c>
      <c r="N68" s="138"/>
    </row>
    <row r="69" spans="2:14" s="44" customFormat="1" ht="54" customHeight="1" thickBot="1" x14ac:dyDescent="0.4">
      <c r="B69" s="149"/>
      <c r="C69" s="152"/>
      <c r="D69" s="149"/>
      <c r="E69" s="78" t="s">
        <v>216</v>
      </c>
      <c r="F69" s="47"/>
      <c r="G69" s="47"/>
      <c r="H69" s="79"/>
      <c r="I69" s="48">
        <v>68440</v>
      </c>
      <c r="J69" s="80"/>
      <c r="K69" s="88">
        <f t="shared" ref="K69" si="27">+L69*I69</f>
        <v>54752</v>
      </c>
      <c r="L69" s="93">
        <v>0.8</v>
      </c>
      <c r="M69" s="80" t="s">
        <v>217</v>
      </c>
      <c r="N69" s="138"/>
    </row>
    <row r="70" spans="2:14" s="44" customFormat="1" ht="54" customHeight="1" thickBot="1" x14ac:dyDescent="0.4">
      <c r="B70" s="149"/>
      <c r="C70" s="152"/>
      <c r="D70" s="149"/>
      <c r="E70" s="78" t="s">
        <v>218</v>
      </c>
      <c r="F70" s="47"/>
      <c r="G70" s="47"/>
      <c r="H70" s="79"/>
      <c r="I70" s="48">
        <v>28957.200000000001</v>
      </c>
      <c r="J70" s="80"/>
      <c r="K70" s="88">
        <f t="shared" ref="K70" si="28">+L70*I70</f>
        <v>23165.760000000002</v>
      </c>
      <c r="L70" s="93">
        <v>0.8</v>
      </c>
      <c r="M70" s="80" t="s">
        <v>219</v>
      </c>
      <c r="N70" s="138"/>
    </row>
    <row r="71" spans="2:14" s="44" customFormat="1" ht="54" customHeight="1" thickBot="1" x14ac:dyDescent="0.4">
      <c r="B71" s="149"/>
      <c r="C71" s="152"/>
      <c r="D71" s="149"/>
      <c r="E71" s="78" t="s">
        <v>220</v>
      </c>
      <c r="F71" s="47"/>
      <c r="G71" s="47"/>
      <c r="H71" s="79"/>
      <c r="I71" s="48">
        <v>56097.2</v>
      </c>
      <c r="J71" s="80"/>
      <c r="K71" s="88">
        <f t="shared" ref="K71" si="29">+L71*I71</f>
        <v>44877.760000000002</v>
      </c>
      <c r="L71" s="93">
        <v>0.8</v>
      </c>
      <c r="M71" s="80" t="s">
        <v>221</v>
      </c>
      <c r="N71" s="138"/>
    </row>
    <row r="72" spans="2:14" s="44" customFormat="1" ht="54" customHeight="1" thickBot="1" x14ac:dyDescent="0.4">
      <c r="B72" s="149"/>
      <c r="C72" s="152"/>
      <c r="D72" s="149"/>
      <c r="E72" s="78" t="s">
        <v>222</v>
      </c>
      <c r="F72" s="47"/>
      <c r="G72" s="47"/>
      <c r="H72" s="79"/>
      <c r="I72" s="48">
        <v>28957.200000000001</v>
      </c>
      <c r="J72" s="80"/>
      <c r="K72" s="88">
        <f t="shared" ref="K72" si="30">+L72*I72</f>
        <v>23165.760000000002</v>
      </c>
      <c r="L72" s="93">
        <v>0.8</v>
      </c>
      <c r="M72" s="80" t="s">
        <v>223</v>
      </c>
      <c r="N72" s="138"/>
    </row>
    <row r="73" spans="2:14" s="44" customFormat="1" ht="54" customHeight="1" thickBot="1" x14ac:dyDescent="0.4">
      <c r="B73" s="149"/>
      <c r="C73" s="152"/>
      <c r="D73" s="149"/>
      <c r="E73" s="78" t="s">
        <v>224</v>
      </c>
      <c r="F73" s="47"/>
      <c r="G73" s="47"/>
      <c r="H73" s="79"/>
      <c r="I73" s="48">
        <v>56097.2</v>
      </c>
      <c r="J73" s="80"/>
      <c r="K73" s="88">
        <f t="shared" ref="K73:K74" si="31">+L73*I73</f>
        <v>44877.760000000002</v>
      </c>
      <c r="L73" s="93">
        <v>0.8</v>
      </c>
      <c r="M73" s="80" t="s">
        <v>225</v>
      </c>
      <c r="N73" s="138"/>
    </row>
    <row r="74" spans="2:14" s="44" customFormat="1" ht="54" customHeight="1" thickBot="1" x14ac:dyDescent="0.4">
      <c r="B74" s="149"/>
      <c r="C74" s="152"/>
      <c r="D74" s="149"/>
      <c r="E74" s="78" t="s">
        <v>226</v>
      </c>
      <c r="F74" s="47"/>
      <c r="G74" s="47"/>
      <c r="H74" s="79"/>
      <c r="I74" s="48">
        <v>43150.78</v>
      </c>
      <c r="J74" s="80"/>
      <c r="K74" s="88">
        <f t="shared" si="31"/>
        <v>34520.624000000003</v>
      </c>
      <c r="L74" s="93">
        <v>0.8</v>
      </c>
      <c r="M74" s="80" t="s">
        <v>227</v>
      </c>
      <c r="N74" s="138"/>
    </row>
    <row r="75" spans="2:14" s="44" customFormat="1" ht="54" customHeight="1" thickBot="1" x14ac:dyDescent="0.4">
      <c r="B75" s="149"/>
      <c r="C75" s="152"/>
      <c r="D75" s="149"/>
      <c r="E75" s="78" t="s">
        <v>228</v>
      </c>
      <c r="F75" s="47"/>
      <c r="G75" s="47"/>
      <c r="H75" s="79"/>
      <c r="I75" s="48">
        <v>43150.78</v>
      </c>
      <c r="J75" s="80"/>
      <c r="K75" s="88">
        <f t="shared" ref="K75" si="32">+L75*I75</f>
        <v>34520.624000000003</v>
      </c>
      <c r="L75" s="93">
        <v>0.8</v>
      </c>
      <c r="M75" s="80" t="s">
        <v>229</v>
      </c>
      <c r="N75" s="138"/>
    </row>
    <row r="76" spans="2:14" s="44" customFormat="1" ht="54" customHeight="1" thickBot="1" x14ac:dyDescent="0.4">
      <c r="B76" s="149"/>
      <c r="C76" s="152"/>
      <c r="D76" s="149"/>
      <c r="E76" s="78" t="s">
        <v>230</v>
      </c>
      <c r="F76" s="47"/>
      <c r="G76" s="47"/>
      <c r="H76" s="79"/>
      <c r="I76" s="48">
        <v>43150.78</v>
      </c>
      <c r="J76" s="80"/>
      <c r="K76" s="88">
        <f t="shared" ref="K76" si="33">+L76*I76</f>
        <v>34520.624000000003</v>
      </c>
      <c r="L76" s="93">
        <v>0.8</v>
      </c>
      <c r="M76" s="80" t="s">
        <v>231</v>
      </c>
      <c r="N76" s="138"/>
    </row>
    <row r="77" spans="2:14" s="44" customFormat="1" ht="54" customHeight="1" thickBot="1" x14ac:dyDescent="0.4">
      <c r="B77" s="149"/>
      <c r="C77" s="152"/>
      <c r="D77" s="149"/>
      <c r="E77" s="78" t="s">
        <v>232</v>
      </c>
      <c r="F77" s="47"/>
      <c r="G77" s="47"/>
      <c r="H77" s="79"/>
      <c r="I77" s="48">
        <v>37465</v>
      </c>
      <c r="J77" s="80"/>
      <c r="K77" s="88">
        <f t="shared" ref="K77" si="34">+L77*I77</f>
        <v>29972</v>
      </c>
      <c r="L77" s="93">
        <v>0.8</v>
      </c>
      <c r="M77" s="80" t="s">
        <v>233</v>
      </c>
      <c r="N77" s="138"/>
    </row>
    <row r="78" spans="2:14" s="44" customFormat="1" ht="54" customHeight="1" thickBot="1" x14ac:dyDescent="0.4">
      <c r="B78" s="149"/>
      <c r="C78" s="152"/>
      <c r="D78" s="149"/>
      <c r="E78" s="78" t="s">
        <v>234</v>
      </c>
      <c r="F78" s="47"/>
      <c r="G78" s="47"/>
      <c r="H78" s="79"/>
      <c r="I78" s="48">
        <f>11750*1.18</f>
        <v>13865</v>
      </c>
      <c r="J78" s="80"/>
      <c r="K78" s="88">
        <f t="shared" ref="K78" si="35">+L78*I78</f>
        <v>11092</v>
      </c>
      <c r="L78" s="93">
        <v>0.8</v>
      </c>
      <c r="M78" s="80" t="s">
        <v>235</v>
      </c>
      <c r="N78" s="138"/>
    </row>
    <row r="79" spans="2:14" s="44" customFormat="1" ht="54" customHeight="1" thickBot="1" x14ac:dyDescent="0.4">
      <c r="B79" s="149"/>
      <c r="C79" s="152"/>
      <c r="D79" s="149"/>
      <c r="E79" s="78" t="s">
        <v>236</v>
      </c>
      <c r="F79" s="47"/>
      <c r="G79" s="47"/>
      <c r="H79" s="79"/>
      <c r="I79" s="48">
        <f>11750*1.18</f>
        <v>13865</v>
      </c>
      <c r="J79" s="80"/>
      <c r="K79" s="88">
        <f t="shared" ref="K79" si="36">+L79*I79</f>
        <v>11092</v>
      </c>
      <c r="L79" s="93">
        <v>0.8</v>
      </c>
      <c r="M79" s="80" t="s">
        <v>237</v>
      </c>
      <c r="N79" s="138"/>
    </row>
    <row r="80" spans="2:14" s="44" customFormat="1" ht="54" customHeight="1" thickBot="1" x14ac:dyDescent="0.4">
      <c r="B80" s="149"/>
      <c r="C80" s="152"/>
      <c r="D80" s="149"/>
      <c r="E80" s="78" t="s">
        <v>238</v>
      </c>
      <c r="F80" s="47"/>
      <c r="G80" s="47"/>
      <c r="H80" s="79"/>
      <c r="I80" s="48">
        <v>2307220.77</v>
      </c>
      <c r="J80" s="80"/>
      <c r="K80" s="88">
        <f t="shared" ref="K80" si="37">+L80*I80</f>
        <v>1845776.6160000002</v>
      </c>
      <c r="L80" s="93">
        <v>0.8</v>
      </c>
      <c r="M80" s="80" t="s">
        <v>239</v>
      </c>
      <c r="N80" s="138"/>
    </row>
    <row r="81" spans="2:14" s="44" customFormat="1" ht="54" customHeight="1" thickBot="1" x14ac:dyDescent="0.4">
      <c r="B81" s="149"/>
      <c r="C81" s="152"/>
      <c r="D81" s="149"/>
      <c r="E81" s="78" t="s">
        <v>240</v>
      </c>
      <c r="F81" s="47"/>
      <c r="G81" s="47"/>
      <c r="H81" s="79"/>
      <c r="I81" s="48">
        <f>50720*1.18</f>
        <v>59849.599999999999</v>
      </c>
      <c r="J81" s="80"/>
      <c r="K81" s="88">
        <f t="shared" ref="K81" si="38">+L81*I81</f>
        <v>47879.68</v>
      </c>
      <c r="L81" s="93">
        <v>0.8</v>
      </c>
      <c r="M81" s="80" t="s">
        <v>241</v>
      </c>
      <c r="N81" s="138"/>
    </row>
    <row r="82" spans="2:14" s="44" customFormat="1" ht="54" customHeight="1" thickBot="1" x14ac:dyDescent="0.4">
      <c r="B82" s="150"/>
      <c r="C82" s="153"/>
      <c r="D82" s="150"/>
      <c r="E82" s="78" t="s">
        <v>242</v>
      </c>
      <c r="F82" s="47"/>
      <c r="G82" s="47"/>
      <c r="H82" s="79"/>
      <c r="I82" s="48">
        <v>22726.799999999999</v>
      </c>
      <c r="J82" s="80"/>
      <c r="K82" s="88">
        <f t="shared" ref="K82" si="39">+L82*I82</f>
        <v>18181.439999999999</v>
      </c>
      <c r="L82" s="93">
        <v>0.8</v>
      </c>
      <c r="M82" s="80" t="s">
        <v>243</v>
      </c>
      <c r="N82" s="139"/>
    </row>
    <row r="83" spans="2:14" s="44" customFormat="1" ht="136.5" customHeight="1" thickBot="1" x14ac:dyDescent="0.4">
      <c r="B83" s="137">
        <v>3</v>
      </c>
      <c r="C83" s="130" t="s">
        <v>245</v>
      </c>
      <c r="D83" s="137" t="s">
        <v>246</v>
      </c>
      <c r="E83" s="64" t="s">
        <v>247</v>
      </c>
      <c r="F83" s="47">
        <v>43730</v>
      </c>
      <c r="G83" s="47">
        <v>43806</v>
      </c>
      <c r="H83" s="65">
        <f t="shared" ref="H83" si="40">+G83-F83</f>
        <v>76</v>
      </c>
      <c r="I83" s="48">
        <v>1050215.56</v>
      </c>
      <c r="J83" s="63"/>
      <c r="K83" s="28">
        <f t="shared" ref="K83" si="41">+I83</f>
        <v>1050215.56</v>
      </c>
      <c r="L83" s="87">
        <v>0.8</v>
      </c>
      <c r="M83" s="63">
        <v>493</v>
      </c>
      <c r="N83" s="130" t="s">
        <v>157</v>
      </c>
    </row>
    <row r="84" spans="2:14" s="44" customFormat="1" ht="82.5" customHeight="1" thickBot="1" x14ac:dyDescent="0.4">
      <c r="B84" s="132"/>
      <c r="C84" s="139"/>
      <c r="D84" s="132"/>
      <c r="E84" s="78" t="s">
        <v>248</v>
      </c>
      <c r="F84" s="47"/>
      <c r="G84" s="47"/>
      <c r="H84" s="79"/>
      <c r="I84" s="48">
        <v>466668.58</v>
      </c>
      <c r="J84" s="80"/>
      <c r="K84" s="88">
        <f t="shared" ref="K84" si="42">+L84*I84</f>
        <v>373334.86400000006</v>
      </c>
      <c r="L84" s="93">
        <v>0.8</v>
      </c>
      <c r="M84" s="80" t="s">
        <v>249</v>
      </c>
      <c r="N84" s="139"/>
    </row>
    <row r="85" spans="2:14" s="44" customFormat="1" ht="54" customHeight="1" thickBot="1" x14ac:dyDescent="0.4">
      <c r="B85" s="137">
        <v>4</v>
      </c>
      <c r="C85" s="130" t="s">
        <v>245</v>
      </c>
      <c r="D85" s="137" t="s">
        <v>246</v>
      </c>
      <c r="E85" s="64" t="s">
        <v>247</v>
      </c>
      <c r="F85" s="47">
        <v>43730</v>
      </c>
      <c r="G85" s="47">
        <v>43806</v>
      </c>
      <c r="H85" s="65">
        <f t="shared" ref="H85" si="43">+G85-F85</f>
        <v>76</v>
      </c>
      <c r="I85" s="48">
        <v>1050215.56</v>
      </c>
      <c r="J85" s="63"/>
      <c r="K85" s="28">
        <f t="shared" ref="K85" si="44">+I85</f>
        <v>1050215.56</v>
      </c>
      <c r="L85" s="87">
        <v>0.8</v>
      </c>
      <c r="M85" s="63">
        <v>503</v>
      </c>
      <c r="N85" s="130" t="s">
        <v>157</v>
      </c>
    </row>
    <row r="86" spans="2:14" s="44" customFormat="1" ht="54" customHeight="1" thickBot="1" x14ac:dyDescent="0.4">
      <c r="B86" s="132"/>
      <c r="C86" s="139"/>
      <c r="D86" s="132"/>
      <c r="E86" s="78" t="s">
        <v>250</v>
      </c>
      <c r="F86" s="47"/>
      <c r="G86" s="47"/>
      <c r="H86" s="79"/>
      <c r="I86" s="48">
        <v>215922.45</v>
      </c>
      <c r="J86" s="80"/>
      <c r="K86" s="88">
        <f t="shared" ref="K86" si="45">+L86*I86</f>
        <v>172737.96000000002</v>
      </c>
      <c r="L86" s="93">
        <v>0.8</v>
      </c>
      <c r="M86" s="80" t="s">
        <v>251</v>
      </c>
      <c r="N86" s="139"/>
    </row>
    <row r="87" spans="2:14" s="44" customFormat="1" ht="54" customHeight="1" thickBot="1" x14ac:dyDescent="0.4">
      <c r="B87" s="137">
        <v>5</v>
      </c>
      <c r="C87" s="130" t="s">
        <v>245</v>
      </c>
      <c r="D87" s="137" t="s">
        <v>246</v>
      </c>
      <c r="E87" s="64" t="s">
        <v>247</v>
      </c>
      <c r="F87" s="47">
        <v>43730</v>
      </c>
      <c r="G87" s="47">
        <v>43806</v>
      </c>
      <c r="H87" s="65">
        <f t="shared" ref="H87" si="46">+G87-F87</f>
        <v>76</v>
      </c>
      <c r="I87" s="48">
        <v>1050215.56</v>
      </c>
      <c r="J87" s="63"/>
      <c r="K87" s="28">
        <f t="shared" ref="K87" si="47">+I87</f>
        <v>1050215.56</v>
      </c>
      <c r="L87" s="87">
        <v>0.8</v>
      </c>
      <c r="M87" s="63">
        <v>512</v>
      </c>
      <c r="N87" s="130" t="s">
        <v>157</v>
      </c>
    </row>
    <row r="88" spans="2:14" s="44" customFormat="1" ht="54" customHeight="1" thickBot="1" x14ac:dyDescent="0.4">
      <c r="B88" s="132"/>
      <c r="C88" s="139"/>
      <c r="D88" s="132"/>
      <c r="E88" s="78" t="s">
        <v>252</v>
      </c>
      <c r="F88" s="47"/>
      <c r="G88" s="47"/>
      <c r="H88" s="79"/>
      <c r="I88" s="48">
        <v>163460.76</v>
      </c>
      <c r="J88" s="80"/>
      <c r="K88" s="88">
        <f t="shared" ref="K88" si="48">+L88*I88</f>
        <v>130768.60800000001</v>
      </c>
      <c r="L88" s="93">
        <v>0.8</v>
      </c>
      <c r="M88" s="80" t="s">
        <v>253</v>
      </c>
      <c r="N88" s="139"/>
    </row>
    <row r="89" spans="2:14" s="44" customFormat="1" ht="54" customHeight="1" thickBot="1" x14ac:dyDescent="0.4">
      <c r="B89" s="99">
        <v>6</v>
      </c>
      <c r="C89" s="100" t="s">
        <v>254</v>
      </c>
      <c r="D89" s="99" t="s">
        <v>158</v>
      </c>
      <c r="E89" s="78" t="s">
        <v>255</v>
      </c>
      <c r="F89" s="47"/>
      <c r="G89" s="47"/>
      <c r="H89" s="79"/>
      <c r="I89" s="48">
        <v>135700</v>
      </c>
      <c r="J89" s="80"/>
      <c r="K89" s="88">
        <f t="shared" ref="K89" si="49">+L89*I89</f>
        <v>108560</v>
      </c>
      <c r="L89" s="93">
        <v>0.8</v>
      </c>
      <c r="M89" s="80" t="s">
        <v>256</v>
      </c>
      <c r="N89" s="101" t="s">
        <v>157</v>
      </c>
    </row>
    <row r="90" spans="2:14" s="44" customFormat="1" ht="54" customHeight="1" thickBot="1" x14ac:dyDescent="0.4">
      <c r="B90" s="99">
        <v>6</v>
      </c>
      <c r="C90" s="100" t="s">
        <v>258</v>
      </c>
      <c r="D90" s="99" t="s">
        <v>158</v>
      </c>
      <c r="E90" s="78" t="s">
        <v>257</v>
      </c>
      <c r="F90" s="47"/>
      <c r="G90" s="47"/>
      <c r="H90" s="79"/>
      <c r="I90" s="48">
        <v>167360.26</v>
      </c>
      <c r="J90" s="80"/>
      <c r="K90" s="88">
        <f t="shared" ref="K90" si="50">+L90*I90</f>
        <v>133888.20800000001</v>
      </c>
      <c r="L90" s="93">
        <v>0.8</v>
      </c>
      <c r="M90" s="80" t="s">
        <v>259</v>
      </c>
      <c r="N90" s="101" t="s">
        <v>157</v>
      </c>
    </row>
    <row r="91" spans="2:14" s="44" customFormat="1" ht="54" customHeight="1" thickBot="1" x14ac:dyDescent="0.4">
      <c r="B91" s="97"/>
      <c r="C91" s="98"/>
      <c r="D91" s="97"/>
      <c r="E91" s="78"/>
      <c r="F91" s="47"/>
      <c r="G91" s="47"/>
      <c r="H91" s="79"/>
      <c r="I91" s="48"/>
      <c r="J91" s="80"/>
      <c r="K91" s="81"/>
      <c r="L91" s="93"/>
      <c r="M91" s="80"/>
      <c r="N91" s="96"/>
    </row>
    <row r="92" spans="2:14" s="44" customFormat="1" ht="54" customHeight="1" thickBot="1" x14ac:dyDescent="0.4">
      <c r="B92" s="97"/>
      <c r="C92" s="98"/>
      <c r="D92" s="97"/>
      <c r="E92" s="78"/>
      <c r="F92" s="47"/>
      <c r="G92" s="47"/>
      <c r="H92" s="79"/>
      <c r="I92" s="48"/>
      <c r="J92" s="80"/>
      <c r="K92" s="81"/>
      <c r="L92" s="93"/>
      <c r="M92" s="80"/>
      <c r="N92" s="96"/>
    </row>
    <row r="93" spans="2:14" s="44" customFormat="1" ht="21.5" customHeight="1" thickBot="1" x14ac:dyDescent="0.4">
      <c r="B93" s="70"/>
      <c r="C93" s="71"/>
      <c r="D93" s="70"/>
      <c r="E93" s="72"/>
      <c r="F93" s="73"/>
      <c r="G93" s="73"/>
      <c r="H93" s="74"/>
      <c r="I93" s="75"/>
      <c r="J93" s="76"/>
      <c r="K93" s="77"/>
      <c r="L93" s="77"/>
      <c r="M93" s="76"/>
      <c r="N93" s="76"/>
    </row>
    <row r="94" spans="2:14" ht="18.5" x14ac:dyDescent="0.35">
      <c r="B94" s="6"/>
      <c r="C94" s="6"/>
      <c r="D94" s="56"/>
      <c r="E94" s="34"/>
      <c r="F94" s="13"/>
      <c r="G94" s="13"/>
      <c r="H94" s="11"/>
      <c r="I94" s="13"/>
      <c r="J94" s="13"/>
      <c r="K94" s="31"/>
      <c r="L94" s="31"/>
      <c r="M94" s="13"/>
      <c r="N94" s="13"/>
    </row>
    <row r="95" spans="2:14" ht="19" thickBot="1" x14ac:dyDescent="0.5">
      <c r="C95" s="133" t="s">
        <v>19</v>
      </c>
      <c r="D95" s="133"/>
      <c r="E95" s="133"/>
      <c r="F95" s="14"/>
      <c r="G95" s="50">
        <v>44740</v>
      </c>
      <c r="H95" s="49">
        <f>8*365</f>
        <v>2920</v>
      </c>
      <c r="I95" s="50">
        <f>+G95-H95</f>
        <v>41820</v>
      </c>
    </row>
    <row r="96" spans="2:14" ht="15" thickBot="1" x14ac:dyDescent="0.4">
      <c r="C96" s="17" t="s">
        <v>27</v>
      </c>
      <c r="D96" s="57">
        <v>3067564</v>
      </c>
      <c r="E96" s="66">
        <v>45035</v>
      </c>
      <c r="F96" s="67">
        <f>8*365</f>
        <v>2920</v>
      </c>
      <c r="G96" s="68">
        <f>+E96-F96</f>
        <v>42115</v>
      </c>
      <c r="H96" s="69"/>
    </row>
    <row r="97" spans="3:14" ht="15" customHeight="1" thickBot="1" x14ac:dyDescent="0.4">
      <c r="C97" s="18" t="s">
        <v>13</v>
      </c>
      <c r="D97" s="58"/>
      <c r="E97" s="134" t="s">
        <v>38</v>
      </c>
      <c r="F97" s="135"/>
      <c r="G97" s="135"/>
      <c r="H97" s="136"/>
      <c r="I97" s="14"/>
    </row>
    <row r="98" spans="3:14" x14ac:dyDescent="0.35">
      <c r="C98" t="s">
        <v>28</v>
      </c>
      <c r="D98" s="95">
        <f>SUM(K5:K39)+K41+K42+K43+K44+K45+K46+K47+K48+K49+K50+K51+K52+K53+K54+K55+K56+K57+K58+K59+K60+K61+K62+K63+K64+K65+K66+K67+K68+K69+K70+K71+K72+K73+K74+K75+K76+K77+K78+K79+K80+K81+K82+K84+K86+K88+K89+K90</f>
        <v>7732489.648000001</v>
      </c>
    </row>
    <row r="99" spans="3:14" x14ac:dyDescent="0.35">
      <c r="C99" t="s">
        <v>14</v>
      </c>
      <c r="D99" s="60">
        <f>+D98/D96</f>
        <v>2.5207264291796361</v>
      </c>
      <c r="E99" s="61"/>
      <c r="F99" s="14"/>
      <c r="H99" s="14"/>
    </row>
    <row r="101" spans="3:14" x14ac:dyDescent="0.35">
      <c r="E101" s="36" t="s">
        <v>20</v>
      </c>
      <c r="F101" s="19"/>
      <c r="G101" s="20">
        <v>100</v>
      </c>
    </row>
    <row r="102" spans="3:14" x14ac:dyDescent="0.35">
      <c r="E102" s="37"/>
      <c r="F102"/>
      <c r="G102"/>
    </row>
    <row r="103" spans="3:14" x14ac:dyDescent="0.35">
      <c r="E103" s="38" t="s">
        <v>21</v>
      </c>
      <c r="F103" s="21"/>
      <c r="G103" s="51">
        <v>2714794.14</v>
      </c>
    </row>
    <row r="104" spans="3:14" x14ac:dyDescent="0.35">
      <c r="E104" s="37"/>
      <c r="F104"/>
      <c r="G104"/>
    </row>
    <row r="105" spans="3:14" x14ac:dyDescent="0.35">
      <c r="E105" s="38" t="s">
        <v>22</v>
      </c>
      <c r="F105" s="22">
        <f>+'INAB-GAS'!F52</f>
        <v>2714794.14</v>
      </c>
      <c r="G105" s="52"/>
    </row>
    <row r="106" spans="3:14" x14ac:dyDescent="0.35">
      <c r="E106" s="37"/>
      <c r="F106"/>
      <c r="G106"/>
    </row>
    <row r="107" spans="3:14" x14ac:dyDescent="0.35">
      <c r="E107" s="36" t="s">
        <v>279</v>
      </c>
      <c r="F107" s="19"/>
      <c r="G107" s="20">
        <f>+F105/G103*100</f>
        <v>100</v>
      </c>
    </row>
    <row r="108" spans="3:14" ht="15" thickBot="1" x14ac:dyDescent="0.4">
      <c r="E108" s="37"/>
      <c r="F108"/>
      <c r="G108"/>
    </row>
    <row r="109" spans="3:14" ht="19" thickBot="1" x14ac:dyDescent="0.5">
      <c r="E109" s="39" t="s">
        <v>23</v>
      </c>
      <c r="F109" s="82">
        <f>+G101*0.8+G107*0.2</f>
        <v>100</v>
      </c>
      <c r="G109" s="23"/>
    </row>
    <row r="111" spans="3:14" x14ac:dyDescent="0.35">
      <c r="E111" s="37"/>
      <c r="F111"/>
      <c r="G111"/>
      <c r="H111"/>
      <c r="I111"/>
      <c r="J111"/>
      <c r="K111"/>
      <c r="L111"/>
      <c r="M111"/>
      <c r="N111"/>
    </row>
    <row r="112" spans="3:14" x14ac:dyDescent="0.35">
      <c r="E112" s="37"/>
      <c r="F112" s="83"/>
      <c r="G112"/>
      <c r="H112"/>
      <c r="I112"/>
      <c r="J112"/>
      <c r="K112"/>
      <c r="L112"/>
      <c r="M112"/>
      <c r="N112"/>
    </row>
    <row r="113" spans="5:14" x14ac:dyDescent="0.35">
      <c r="E113" s="37"/>
      <c r="F113"/>
      <c r="G113"/>
      <c r="H113"/>
      <c r="I113"/>
      <c r="J113"/>
      <c r="K113"/>
      <c r="L113"/>
      <c r="M113"/>
      <c r="N113"/>
    </row>
    <row r="114" spans="5:14" x14ac:dyDescent="0.35">
      <c r="E114" s="37"/>
      <c r="F114"/>
      <c r="G114"/>
      <c r="H114"/>
      <c r="I114"/>
      <c r="J114"/>
      <c r="K114"/>
      <c r="L114"/>
      <c r="M114"/>
      <c r="N114"/>
    </row>
    <row r="115" spans="5:14" x14ac:dyDescent="0.35">
      <c r="E115" s="37"/>
      <c r="F115"/>
      <c r="G115"/>
      <c r="H115"/>
      <c r="I115"/>
      <c r="J115"/>
      <c r="K115"/>
      <c r="L115"/>
      <c r="M115"/>
      <c r="N115"/>
    </row>
  </sheetData>
  <mergeCells count="23">
    <mergeCell ref="E2:M2"/>
    <mergeCell ref="B40:B82"/>
    <mergeCell ref="C40:C82"/>
    <mergeCell ref="D40:D82"/>
    <mergeCell ref="B83:B84"/>
    <mergeCell ref="C83:C84"/>
    <mergeCell ref="D83:D84"/>
    <mergeCell ref="E97:H97"/>
    <mergeCell ref="C95:E95"/>
    <mergeCell ref="N4:N39"/>
    <mergeCell ref="B4:B39"/>
    <mergeCell ref="C4:C39"/>
    <mergeCell ref="D4:D39"/>
    <mergeCell ref="B85:B86"/>
    <mergeCell ref="C85:C86"/>
    <mergeCell ref="D85:D86"/>
    <mergeCell ref="B87:B88"/>
    <mergeCell ref="C87:C88"/>
    <mergeCell ref="D87:D88"/>
    <mergeCell ref="N40:N82"/>
    <mergeCell ref="N83:N84"/>
    <mergeCell ref="N85:N86"/>
    <mergeCell ref="N87:N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topLeftCell="A19" workbookViewId="0">
      <selection activeCell="F36" sqref="F36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4" bestFit="1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30" bestFit="1" customWidth="1"/>
    <col min="12" max="12" width="10.7265625" style="12" customWidth="1"/>
    <col min="13" max="13" width="24.54296875" style="12" customWidth="1"/>
    <col min="14" max="14" width="13.36328125" style="53" bestFit="1" customWidth="1"/>
  </cols>
  <sheetData>
    <row r="2" spans="2:13" ht="32.15" customHeight="1" thickBot="1" x14ac:dyDescent="0.4">
      <c r="E2" s="146"/>
      <c r="F2" s="147"/>
      <c r="G2" s="147"/>
      <c r="H2" s="147"/>
      <c r="I2" s="147"/>
      <c r="J2" s="147"/>
      <c r="K2" s="147"/>
      <c r="L2" s="147"/>
      <c r="M2"/>
    </row>
    <row r="3" spans="2:13" ht="15" thickBot="1" x14ac:dyDescent="0.4">
      <c r="B3" s="5" t="s">
        <v>3</v>
      </c>
      <c r="C3" s="5" t="s">
        <v>4</v>
      </c>
      <c r="D3" s="55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104" t="s">
        <v>10</v>
      </c>
      <c r="M3" s="104" t="s">
        <v>17</v>
      </c>
    </row>
    <row r="4" spans="2:13" s="27" customFormat="1" ht="78" customHeight="1" thickBot="1" x14ac:dyDescent="0.4">
      <c r="B4" s="137">
        <v>1</v>
      </c>
      <c r="C4" s="130" t="s">
        <v>263</v>
      </c>
      <c r="D4" s="137" t="s">
        <v>24</v>
      </c>
      <c r="E4" s="64" t="s">
        <v>265</v>
      </c>
      <c r="F4" s="47">
        <v>42009</v>
      </c>
      <c r="G4" s="47">
        <v>42373</v>
      </c>
      <c r="H4" s="65">
        <f t="shared" ref="H4:H5" si="0">+G4-F4</f>
        <v>364</v>
      </c>
      <c r="I4" s="48">
        <v>2878600.56</v>
      </c>
      <c r="J4" s="63"/>
      <c r="K4" s="28"/>
      <c r="L4" s="63">
        <v>41</v>
      </c>
      <c r="M4" s="143" t="s">
        <v>266</v>
      </c>
    </row>
    <row r="5" spans="2:13" s="27" customFormat="1" ht="64" customHeight="1" thickBot="1" x14ac:dyDescent="0.4">
      <c r="B5" s="132"/>
      <c r="C5" s="139"/>
      <c r="D5" s="132"/>
      <c r="E5" s="33" t="s">
        <v>264</v>
      </c>
      <c r="F5" s="40">
        <v>42009</v>
      </c>
      <c r="G5" s="40">
        <v>42373</v>
      </c>
      <c r="H5" s="41">
        <f t="shared" si="0"/>
        <v>364</v>
      </c>
      <c r="I5" s="42"/>
      <c r="J5" s="43"/>
      <c r="K5" s="46"/>
      <c r="L5" s="43">
        <v>40</v>
      </c>
      <c r="M5" s="145"/>
    </row>
    <row r="6" spans="2:13" s="27" customFormat="1" ht="52.5" customHeight="1" thickBot="1" x14ac:dyDescent="0.4">
      <c r="B6" s="137">
        <v>2</v>
      </c>
      <c r="C6" s="130" t="s">
        <v>260</v>
      </c>
      <c r="D6" s="137" t="s">
        <v>24</v>
      </c>
      <c r="E6" s="64" t="s">
        <v>262</v>
      </c>
      <c r="F6" s="47">
        <v>42390</v>
      </c>
      <c r="G6" s="47">
        <v>42480</v>
      </c>
      <c r="H6" s="65">
        <f t="shared" ref="H6:H7" si="1">+G6-F6</f>
        <v>90</v>
      </c>
      <c r="I6" s="48">
        <v>1314084.21</v>
      </c>
      <c r="J6" s="63"/>
      <c r="K6" s="28">
        <f t="shared" ref="K6:K7" si="2">+I6</f>
        <v>1314084.21</v>
      </c>
      <c r="L6" s="63">
        <v>58</v>
      </c>
      <c r="M6" s="105"/>
    </row>
    <row r="7" spans="2:13" s="27" customFormat="1" ht="64" customHeight="1" thickBot="1" x14ac:dyDescent="0.4">
      <c r="B7" s="132"/>
      <c r="C7" s="139"/>
      <c r="D7" s="132"/>
      <c r="E7" s="33" t="s">
        <v>261</v>
      </c>
      <c r="F7" s="40">
        <v>42390</v>
      </c>
      <c r="G7" s="40">
        <v>42480</v>
      </c>
      <c r="H7" s="41">
        <f t="shared" si="1"/>
        <v>90</v>
      </c>
      <c r="I7" s="42">
        <v>1314084.21</v>
      </c>
      <c r="J7" s="43"/>
      <c r="K7" s="46">
        <f t="shared" si="2"/>
        <v>1314084.21</v>
      </c>
      <c r="L7" s="43">
        <v>57</v>
      </c>
      <c r="M7" s="106"/>
    </row>
    <row r="8" spans="2:13" s="27" customFormat="1" ht="52.5" customHeight="1" thickBot="1" x14ac:dyDescent="0.4">
      <c r="B8" s="137">
        <v>3</v>
      </c>
      <c r="C8" s="130" t="s">
        <v>260</v>
      </c>
      <c r="D8" s="137" t="s">
        <v>24</v>
      </c>
      <c r="E8" s="64" t="s">
        <v>268</v>
      </c>
      <c r="F8" s="47">
        <v>42390</v>
      </c>
      <c r="G8" s="47">
        <v>42480</v>
      </c>
      <c r="H8" s="65">
        <f t="shared" ref="H8:H9" si="3">+G8-F8</f>
        <v>90</v>
      </c>
      <c r="I8" s="48">
        <v>1314084.21</v>
      </c>
      <c r="J8" s="63"/>
      <c r="K8" s="28">
        <f t="shared" ref="K8:K9" si="4">+I8</f>
        <v>1314084.21</v>
      </c>
      <c r="L8" s="63">
        <v>58</v>
      </c>
      <c r="M8" s="105"/>
    </row>
    <row r="9" spans="2:13" s="27" customFormat="1" ht="64" customHeight="1" thickBot="1" x14ac:dyDescent="0.4">
      <c r="B9" s="131"/>
      <c r="C9" s="139"/>
      <c r="D9" s="132"/>
      <c r="E9" s="33" t="s">
        <v>267</v>
      </c>
      <c r="F9" s="40">
        <v>42481</v>
      </c>
      <c r="G9" s="40">
        <v>42571</v>
      </c>
      <c r="H9" s="41">
        <f t="shared" si="3"/>
        <v>90</v>
      </c>
      <c r="I9" s="42">
        <v>1314084.21</v>
      </c>
      <c r="J9" s="43"/>
      <c r="K9" s="46">
        <f t="shared" si="4"/>
        <v>1314084.21</v>
      </c>
      <c r="L9" s="43">
        <v>65</v>
      </c>
      <c r="M9" s="106"/>
    </row>
    <row r="10" spans="2:13" s="27" customFormat="1" ht="64" customHeight="1" thickBot="1" x14ac:dyDescent="0.4">
      <c r="B10" s="137">
        <v>4</v>
      </c>
      <c r="C10" s="130" t="s">
        <v>271</v>
      </c>
      <c r="D10" s="137" t="s">
        <v>24</v>
      </c>
      <c r="E10" s="64" t="s">
        <v>270</v>
      </c>
      <c r="F10" s="47">
        <v>42643</v>
      </c>
      <c r="G10" s="47">
        <v>42734</v>
      </c>
      <c r="H10" s="65">
        <f t="shared" ref="H10:H11" si="5">+G10-F10</f>
        <v>91</v>
      </c>
      <c r="I10" s="48">
        <v>1314084.21</v>
      </c>
      <c r="J10" s="63"/>
      <c r="K10" s="28">
        <f t="shared" ref="K10:K11" si="6">+I10</f>
        <v>1314084.21</v>
      </c>
      <c r="L10" s="63">
        <v>74</v>
      </c>
      <c r="M10" s="106"/>
    </row>
    <row r="11" spans="2:13" s="27" customFormat="1" ht="64" customHeight="1" thickBot="1" x14ac:dyDescent="0.4">
      <c r="B11" s="132"/>
      <c r="C11" s="139"/>
      <c r="D11" s="132"/>
      <c r="E11" s="33" t="s">
        <v>269</v>
      </c>
      <c r="F11" s="40">
        <v>42643</v>
      </c>
      <c r="G11" s="40">
        <v>42734</v>
      </c>
      <c r="H11" s="41">
        <f t="shared" si="5"/>
        <v>91</v>
      </c>
      <c r="I11" s="42">
        <v>1314084.21</v>
      </c>
      <c r="J11" s="43"/>
      <c r="K11" s="46">
        <f t="shared" si="6"/>
        <v>1314084.21</v>
      </c>
      <c r="L11" s="43">
        <v>73</v>
      </c>
      <c r="M11" s="106"/>
    </row>
    <row r="12" spans="2:13" s="27" customFormat="1" ht="64" customHeight="1" thickBot="1" x14ac:dyDescent="0.4">
      <c r="B12" s="137">
        <v>5</v>
      </c>
      <c r="C12" s="130" t="s">
        <v>274</v>
      </c>
      <c r="D12" s="137" t="s">
        <v>24</v>
      </c>
      <c r="E12" s="64" t="s">
        <v>273</v>
      </c>
      <c r="F12" s="47">
        <v>42788</v>
      </c>
      <c r="G12" s="47">
        <v>42877</v>
      </c>
      <c r="H12" s="65">
        <f t="shared" ref="H12:H13" si="7">+G12-F12</f>
        <v>89</v>
      </c>
      <c r="I12" s="48">
        <v>881798.14</v>
      </c>
      <c r="J12" s="63"/>
      <c r="K12" s="28">
        <f t="shared" ref="K12:K13" si="8">+I12</f>
        <v>881798.14</v>
      </c>
      <c r="L12" s="63">
        <v>99</v>
      </c>
      <c r="M12" s="106"/>
    </row>
    <row r="13" spans="2:13" s="27" customFormat="1" ht="64" customHeight="1" thickBot="1" x14ac:dyDescent="0.4">
      <c r="B13" s="132"/>
      <c r="C13" s="139"/>
      <c r="D13" s="132"/>
      <c r="E13" s="33" t="s">
        <v>272</v>
      </c>
      <c r="F13" s="40">
        <v>42788</v>
      </c>
      <c r="G13" s="40">
        <v>42848</v>
      </c>
      <c r="H13" s="41">
        <f t="shared" si="7"/>
        <v>60</v>
      </c>
      <c r="I13" s="42">
        <v>578067.67000000004</v>
      </c>
      <c r="J13" s="43"/>
      <c r="K13" s="46">
        <f t="shared" si="8"/>
        <v>578067.67000000004</v>
      </c>
      <c r="L13" s="43">
        <v>98</v>
      </c>
      <c r="M13" s="106"/>
    </row>
    <row r="14" spans="2:13" s="27" customFormat="1" ht="64" customHeight="1" thickBot="1" x14ac:dyDescent="0.4">
      <c r="B14" s="137">
        <v>6</v>
      </c>
      <c r="C14" s="130" t="s">
        <v>274</v>
      </c>
      <c r="D14" s="137" t="s">
        <v>24</v>
      </c>
      <c r="E14" s="64" t="s">
        <v>276</v>
      </c>
      <c r="F14" s="47">
        <v>43150</v>
      </c>
      <c r="G14" s="47"/>
      <c r="H14" s="65"/>
      <c r="I14" s="48">
        <v>1546670.09</v>
      </c>
      <c r="J14" s="63"/>
      <c r="K14" s="28">
        <f t="shared" ref="K14:K17" si="9">+I14</f>
        <v>1546670.09</v>
      </c>
      <c r="L14" s="63">
        <v>109</v>
      </c>
      <c r="M14" s="106"/>
    </row>
    <row r="15" spans="2:13" s="27" customFormat="1" ht="64" customHeight="1" thickBot="1" x14ac:dyDescent="0.4">
      <c r="B15" s="131"/>
      <c r="C15" s="138"/>
      <c r="D15" s="131"/>
      <c r="E15" s="64" t="s">
        <v>277</v>
      </c>
      <c r="F15" s="47"/>
      <c r="G15" s="47">
        <v>43879</v>
      </c>
      <c r="H15" s="65"/>
      <c r="I15" s="48">
        <v>1546670.09</v>
      </c>
      <c r="J15" s="63"/>
      <c r="K15" s="28">
        <f t="shared" ref="K15" si="10">+I15</f>
        <v>1546670.09</v>
      </c>
      <c r="L15" s="63">
        <v>119</v>
      </c>
      <c r="M15" s="106"/>
    </row>
    <row r="16" spans="2:13" s="27" customFormat="1" ht="64" customHeight="1" thickBot="1" x14ac:dyDescent="0.4">
      <c r="B16" s="131"/>
      <c r="C16" s="138"/>
      <c r="D16" s="131"/>
      <c r="E16" s="64" t="s">
        <v>278</v>
      </c>
      <c r="F16" s="47"/>
      <c r="G16" s="47">
        <v>44245</v>
      </c>
      <c r="H16" s="65"/>
      <c r="I16" s="48">
        <v>1546670.09</v>
      </c>
      <c r="J16" s="63"/>
      <c r="K16" s="28">
        <f t="shared" ref="K16" si="11">+I16</f>
        <v>1546670.09</v>
      </c>
      <c r="L16" s="63">
        <v>136</v>
      </c>
      <c r="M16" s="106"/>
    </row>
    <row r="17" spans="2:14" s="27" customFormat="1" ht="64" customHeight="1" thickBot="1" x14ac:dyDescent="0.4">
      <c r="B17" s="132"/>
      <c r="C17" s="139"/>
      <c r="D17" s="132"/>
      <c r="E17" s="33" t="s">
        <v>275</v>
      </c>
      <c r="F17" s="40">
        <v>43150</v>
      </c>
      <c r="G17" s="40">
        <v>44245</v>
      </c>
      <c r="H17" s="41">
        <f t="shared" ref="H17" si="12">+G17-F17</f>
        <v>1095</v>
      </c>
      <c r="I17" s="42">
        <v>4617485.3600000003</v>
      </c>
      <c r="J17" s="43" t="s">
        <v>34</v>
      </c>
      <c r="K17" s="46">
        <f t="shared" si="9"/>
        <v>4617485.3600000003</v>
      </c>
      <c r="L17" s="43">
        <v>108</v>
      </c>
      <c r="M17" s="106"/>
    </row>
    <row r="18" spans="2:14" s="44" customFormat="1" ht="82.5" customHeight="1" thickBot="1" x14ac:dyDescent="0.4">
      <c r="B18" s="102"/>
      <c r="C18" s="103"/>
      <c r="D18" s="102"/>
      <c r="E18" s="78"/>
      <c r="F18" s="47"/>
      <c r="G18" s="47"/>
      <c r="H18" s="79"/>
      <c r="I18" s="48"/>
      <c r="J18" s="80"/>
      <c r="K18" s="81"/>
      <c r="L18" s="80"/>
      <c r="M18" s="80"/>
    </row>
    <row r="19" spans="2:14" s="44" customFormat="1" ht="82.5" customHeight="1" thickBot="1" x14ac:dyDescent="0.4">
      <c r="B19" s="102"/>
      <c r="C19" s="103"/>
      <c r="D19" s="102"/>
      <c r="E19" s="78"/>
      <c r="F19" s="47"/>
      <c r="G19" s="47"/>
      <c r="H19" s="79"/>
      <c r="I19" s="48"/>
      <c r="J19" s="80"/>
      <c r="K19" s="81"/>
      <c r="L19" s="80"/>
      <c r="M19" s="80"/>
    </row>
    <row r="20" spans="2:14" ht="18.5" x14ac:dyDescent="0.35">
      <c r="B20" s="6"/>
      <c r="C20" s="6"/>
      <c r="D20" s="56"/>
      <c r="E20" s="34"/>
      <c r="F20" s="13"/>
      <c r="G20" s="13"/>
      <c r="H20" s="11"/>
      <c r="I20" s="13"/>
      <c r="J20" s="13"/>
      <c r="K20" s="31"/>
      <c r="L20" s="13"/>
      <c r="M20" s="13"/>
    </row>
    <row r="21" spans="2:14" ht="19" thickBot="1" x14ac:dyDescent="0.5">
      <c r="C21" s="133" t="s">
        <v>19</v>
      </c>
      <c r="D21" s="133"/>
      <c r="E21" s="133"/>
      <c r="F21" s="14"/>
      <c r="G21" s="50">
        <v>44740</v>
      </c>
      <c r="H21" s="49">
        <f>8*365</f>
        <v>2920</v>
      </c>
      <c r="I21" s="50">
        <f>+G21-H21</f>
        <v>41820</v>
      </c>
    </row>
    <row r="22" spans="2:14" ht="15" thickBot="1" x14ac:dyDescent="0.4">
      <c r="C22" s="17" t="s">
        <v>27</v>
      </c>
      <c r="D22" s="57">
        <v>3067564</v>
      </c>
      <c r="E22" s="66"/>
      <c r="F22" s="67"/>
      <c r="G22" s="68"/>
      <c r="H22" s="69"/>
    </row>
    <row r="23" spans="2:14" ht="15" thickBot="1" x14ac:dyDescent="0.4">
      <c r="C23" s="18" t="s">
        <v>13</v>
      </c>
      <c r="D23" s="58"/>
      <c r="E23" s="134" t="s">
        <v>38</v>
      </c>
      <c r="F23" s="135"/>
      <c r="G23" s="135"/>
      <c r="H23" s="136"/>
      <c r="I23" s="14"/>
      <c r="J23" s="14"/>
      <c r="K23" s="85"/>
      <c r="L23" s="14"/>
      <c r="M23" s="14"/>
    </row>
    <row r="24" spans="2:14" x14ac:dyDescent="0.35">
      <c r="C24" t="s">
        <v>28</v>
      </c>
      <c r="D24" s="59">
        <f>+I7+I9+I11+I13+I17</f>
        <v>9137805.6600000001</v>
      </c>
    </row>
    <row r="25" spans="2:14" x14ac:dyDescent="0.35">
      <c r="C25" t="s">
        <v>14</v>
      </c>
      <c r="D25" s="60">
        <f>+D24/D22</f>
        <v>2.9788476002456674</v>
      </c>
      <c r="E25" s="61"/>
      <c r="F25" s="14"/>
      <c r="H25" s="14"/>
    </row>
    <row r="27" spans="2:14" x14ac:dyDescent="0.35">
      <c r="E27" s="36" t="s">
        <v>20</v>
      </c>
      <c r="F27" s="19"/>
      <c r="G27" s="20">
        <v>100</v>
      </c>
    </row>
    <row r="28" spans="2:14" x14ac:dyDescent="0.35">
      <c r="E28" s="37"/>
      <c r="F28"/>
      <c r="G28"/>
    </row>
    <row r="29" spans="2:14" x14ac:dyDescent="0.35">
      <c r="E29" s="38" t="s">
        <v>21</v>
      </c>
      <c r="F29" s="21"/>
      <c r="G29" s="51">
        <v>2760807.6</v>
      </c>
    </row>
    <row r="30" spans="2:14" x14ac:dyDescent="0.35">
      <c r="E30" s="37"/>
      <c r="F30"/>
      <c r="G30"/>
    </row>
    <row r="31" spans="2:14" x14ac:dyDescent="0.35">
      <c r="E31" s="38" t="s">
        <v>22</v>
      </c>
      <c r="F31" s="22">
        <v>2714794.14</v>
      </c>
      <c r="G31" s="52"/>
    </row>
    <row r="32" spans="2:14" s="107" customFormat="1" x14ac:dyDescent="0.35">
      <c r="D32" s="108"/>
      <c r="E32" s="109"/>
      <c r="F32" s="110"/>
      <c r="G32" s="111"/>
      <c r="H32" s="112"/>
      <c r="I32" s="112"/>
      <c r="J32" s="112"/>
      <c r="K32" s="113"/>
      <c r="L32" s="112"/>
      <c r="M32" s="112"/>
      <c r="N32" s="114"/>
    </row>
    <row r="33" spans="4:14" s="107" customFormat="1" x14ac:dyDescent="0.35">
      <c r="D33" s="108"/>
      <c r="E33" s="36" t="s">
        <v>279</v>
      </c>
      <c r="F33" s="19"/>
      <c r="G33" s="20">
        <f>+F31/G29*100</f>
        <v>98.333333333333343</v>
      </c>
      <c r="H33" s="112"/>
      <c r="I33" s="112"/>
      <c r="J33" s="112"/>
      <c r="K33" s="113"/>
      <c r="L33" s="112"/>
      <c r="M33" s="112"/>
      <c r="N33" s="114"/>
    </row>
    <row r="34" spans="4:14" ht="15" thickBot="1" x14ac:dyDescent="0.4">
      <c r="E34" s="37"/>
      <c r="F34"/>
      <c r="G34"/>
    </row>
    <row r="35" spans="4:14" ht="19" thickBot="1" x14ac:dyDescent="0.5">
      <c r="E35" s="39" t="s">
        <v>23</v>
      </c>
      <c r="F35" s="82">
        <f>+G27*0.8+G33*0.2</f>
        <v>99.666666666666671</v>
      </c>
      <c r="G35" s="23"/>
    </row>
    <row r="37" spans="4:14" x14ac:dyDescent="0.35">
      <c r="E37" s="37"/>
      <c r="F37"/>
      <c r="G37"/>
      <c r="H37"/>
      <c r="I37"/>
      <c r="J37"/>
      <c r="K37"/>
      <c r="L37"/>
      <c r="M37"/>
    </row>
    <row r="38" spans="4:14" x14ac:dyDescent="0.35">
      <c r="E38" s="37"/>
      <c r="F38"/>
      <c r="G38"/>
      <c r="H38"/>
      <c r="I38"/>
      <c r="J38"/>
      <c r="K38"/>
      <c r="L38"/>
      <c r="M38"/>
    </row>
    <row r="39" spans="4:14" x14ac:dyDescent="0.35">
      <c r="E39" s="37"/>
      <c r="F39"/>
      <c r="G39"/>
      <c r="H39"/>
      <c r="I39"/>
      <c r="J39"/>
      <c r="K39"/>
      <c r="L39"/>
      <c r="M39"/>
    </row>
    <row r="40" spans="4:14" x14ac:dyDescent="0.35">
      <c r="E40" s="37"/>
      <c r="F40"/>
      <c r="G40"/>
      <c r="H40"/>
      <c r="I40"/>
      <c r="J40"/>
      <c r="K40"/>
      <c r="L40"/>
      <c r="M40"/>
    </row>
    <row r="41" spans="4:14" x14ac:dyDescent="0.35">
      <c r="E41" s="37"/>
      <c r="F41"/>
      <c r="G41"/>
      <c r="H41"/>
      <c r="I41"/>
      <c r="J41"/>
      <c r="K41"/>
      <c r="L41"/>
      <c r="M41"/>
    </row>
  </sheetData>
  <mergeCells count="22">
    <mergeCell ref="M4:M5"/>
    <mergeCell ref="B10:B11"/>
    <mergeCell ref="C10:C11"/>
    <mergeCell ref="D10:D11"/>
    <mergeCell ref="B12:B13"/>
    <mergeCell ref="C12:C13"/>
    <mergeCell ref="D12:D13"/>
    <mergeCell ref="B14:B17"/>
    <mergeCell ref="C14:C17"/>
    <mergeCell ref="D14:D17"/>
    <mergeCell ref="E2:L2"/>
    <mergeCell ref="E23:H23"/>
    <mergeCell ref="B4:B5"/>
    <mergeCell ref="C4:C5"/>
    <mergeCell ref="D4:D5"/>
    <mergeCell ref="B6:B7"/>
    <mergeCell ref="C6:C7"/>
    <mergeCell ref="D6:D7"/>
    <mergeCell ref="B8:B9"/>
    <mergeCell ref="C8:C9"/>
    <mergeCell ref="D8:D9"/>
    <mergeCell ref="C21:E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H4ZUARPRAJFR-49-8258</_dlc_DocId>
    <_dlc_DocIdUrl xmlns="c9af1732-5c4a-47a8-8a40-65a3d58cbfeb">
      <Url>http://portal/seccion/centro_documental/_layouts/15/DocIdRedir.aspx?ID=H4ZUARPRAJFR-49-8258</Url>
      <Description>H4ZUARPRAJFR-49-8258</Description>
    </_dlc_DocIdUrl>
  </documentManagement>
</p:properties>
</file>

<file path=customXml/itemProps1.xml><?xml version="1.0" encoding="utf-8"?>
<ds:datastoreItem xmlns:ds="http://schemas.openxmlformats.org/officeDocument/2006/customXml" ds:itemID="{88F8F92D-8E66-43A4-A5AD-C3CB0DAB4F22}"/>
</file>

<file path=customXml/itemProps2.xml><?xml version="1.0" encoding="utf-8"?>
<ds:datastoreItem xmlns:ds="http://schemas.openxmlformats.org/officeDocument/2006/customXml" ds:itemID="{46B92607-AD4A-4EFA-B639-6433D3F787B7}"/>
</file>

<file path=customXml/itemProps3.xml><?xml version="1.0" encoding="utf-8"?>
<ds:datastoreItem xmlns:ds="http://schemas.openxmlformats.org/officeDocument/2006/customXml" ds:itemID="{927525CD-6A09-4664-968A-4C61090BADC8}"/>
</file>

<file path=customXml/itemProps4.xml><?xml version="1.0" encoding="utf-8"?>
<ds:datastoreItem xmlns:ds="http://schemas.openxmlformats.org/officeDocument/2006/customXml" ds:itemID="{FB4C239F-EADC-4BC5-9481-17F0E98A4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INAB-GAS</vt:lpstr>
      <vt:lpstr>BP-ICB</vt:lpstr>
      <vt:lpstr>COINCE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dcterms:created xsi:type="dcterms:W3CDTF">2019-11-14T14:16:27Z</dcterms:created>
  <dcterms:modified xsi:type="dcterms:W3CDTF">2023-06-15T18:23:26Z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d2559c0e-a14e-4171-a580-72a92756adc8</vt:lpwstr>
  </property>
</Properties>
</file>